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57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2" sheetId="14" r:id="rId9"/>
    <sheet name="NL13" sheetId="15" r:id="rId10"/>
    <sheet name="NL14" sheetId="16" r:id="rId11"/>
    <sheet name="NL15" sheetId="17" r:id="rId12"/>
    <sheet name="NL17" sheetId="18" r:id="rId13"/>
    <sheet name="NL23" sheetId="2" r:id="rId14"/>
    <sheet name="NL25" sheetId="3" r:id="rId15"/>
    <sheet name="NL30" sheetId="4" r:id="rId16"/>
    <sheet name="NL33" sheetId="5" r:id="rId17"/>
    <sheet name="NL40" sheetId="6" r:id="rId18"/>
  </sheets>
  <calcPr calcId="152511"/>
</workbook>
</file>

<file path=xl/calcChain.xml><?xml version="1.0" encoding="utf-8"?>
<calcChain xmlns="http://schemas.openxmlformats.org/spreadsheetml/2006/main">
  <c r="AD13" i="1" l="1"/>
  <c r="AD11" i="1"/>
  <c r="AD10" i="1"/>
  <c r="AD9" i="1"/>
  <c r="AD8" i="1"/>
  <c r="AD7" i="1"/>
  <c r="AD5" i="1"/>
  <c r="AD4" i="1"/>
  <c r="AD19" i="9"/>
  <c r="AD18" i="9"/>
  <c r="AD17" i="9"/>
  <c r="AD13" i="9"/>
  <c r="AD12" i="9"/>
  <c r="AD11" i="9"/>
  <c r="AD16" i="10"/>
  <c r="AD15" i="10"/>
  <c r="AD16" i="11"/>
  <c r="AD11" i="11"/>
  <c r="U16" i="10" l="1"/>
  <c r="U15" i="10"/>
  <c r="BO35" i="14"/>
  <c r="BO33" i="14"/>
  <c r="BO31" i="14"/>
  <c r="BO30" i="14"/>
  <c r="BO27" i="14"/>
  <c r="BO26" i="14"/>
  <c r="BO25" i="14"/>
  <c r="BO24" i="14"/>
  <c r="BO23" i="14"/>
  <c r="BO34" i="14"/>
  <c r="BO17" i="14"/>
  <c r="BO16" i="14"/>
  <c r="BO15" i="14"/>
  <c r="BO12" i="14"/>
  <c r="BO11" i="14"/>
  <c r="BO10" i="14"/>
  <c r="BO9" i="14"/>
  <c r="BO8" i="14"/>
  <c r="BO18" i="14"/>
  <c r="U19" i="9"/>
  <c r="U18" i="9"/>
  <c r="U17" i="9"/>
  <c r="AB14" i="8" l="1"/>
  <c r="AB7" i="8"/>
  <c r="V7" i="8"/>
  <c r="V23" i="7"/>
  <c r="V13" i="1"/>
  <c r="V11" i="1"/>
  <c r="V10" i="1"/>
  <c r="V9" i="1"/>
  <c r="V8" i="1"/>
  <c r="V7" i="1"/>
  <c r="V5" i="1"/>
  <c r="V4" i="1"/>
  <c r="X13" i="1"/>
  <c r="X11" i="1"/>
  <c r="X10" i="1"/>
  <c r="X9" i="1"/>
  <c r="X8" i="1"/>
  <c r="X7" i="1"/>
  <c r="X5" i="1"/>
  <c r="X4" i="1"/>
  <c r="X14" i="8"/>
  <c r="X7" i="8"/>
  <c r="X11" i="16"/>
  <c r="BW28" i="14"/>
  <c r="Z7" i="8"/>
  <c r="BD12" i="6"/>
  <c r="BI13" i="6"/>
  <c r="BH13" i="6"/>
  <c r="BI12" i="6"/>
  <c r="BH12" i="6"/>
  <c r="BI10" i="6"/>
  <c r="BH10" i="6"/>
  <c r="BI9" i="6"/>
  <c r="BH9" i="6"/>
  <c r="BI8" i="6"/>
  <c r="BH8" i="6"/>
  <c r="BI7" i="6"/>
  <c r="BH7" i="6"/>
  <c r="BI6" i="6"/>
  <c r="BH6" i="6"/>
  <c r="BI5" i="6"/>
  <c r="BH5" i="6"/>
  <c r="V10" i="6"/>
  <c r="T11" i="6"/>
  <c r="U11" i="6"/>
  <c r="V11" i="6"/>
  <c r="AD5" i="3"/>
  <c r="AD6" i="3"/>
  <c r="AD7" i="3"/>
  <c r="AD8" i="3"/>
  <c r="AD9" i="3"/>
  <c r="AD10" i="3"/>
  <c r="AD11" i="3"/>
  <c r="AD12" i="3"/>
  <c r="AD13" i="3"/>
  <c r="AD14" i="3"/>
  <c r="AD19" i="14"/>
  <c r="AC19" i="14"/>
  <c r="K16" i="11"/>
  <c r="K16" i="10"/>
  <c r="K15" i="10"/>
  <c r="K19" i="9"/>
  <c r="K18" i="9"/>
  <c r="K17" i="9"/>
  <c r="K7" i="8"/>
  <c r="V14" i="18" l="1"/>
  <c r="U14" i="18" l="1"/>
  <c r="CP9" i="2" l="1"/>
  <c r="T10" i="15"/>
  <c r="T7" i="13"/>
  <c r="T13" i="1" l="1"/>
  <c r="T11" i="1"/>
  <c r="T10" i="1"/>
  <c r="T9" i="1"/>
  <c r="T8" i="1"/>
  <c r="T7" i="1"/>
  <c r="T5" i="1"/>
  <c r="T4" i="1"/>
  <c r="R7" i="8" l="1"/>
  <c r="Q11" i="16" l="1"/>
  <c r="Q5" i="16"/>
  <c r="Q7" i="8"/>
  <c r="P17" i="12" l="1"/>
  <c r="P15" i="12"/>
  <c r="P13" i="12"/>
  <c r="P12" i="12"/>
  <c r="P11" i="12"/>
  <c r="P10" i="12"/>
  <c r="P9" i="12"/>
  <c r="P8" i="12"/>
  <c r="P7" i="12"/>
  <c r="P5" i="12"/>
  <c r="P4" i="12"/>
  <c r="P13" i="1" l="1"/>
  <c r="P11" i="1"/>
  <c r="P10" i="1"/>
  <c r="P9" i="1"/>
  <c r="P8" i="1"/>
  <c r="P5" i="1"/>
  <c r="P7" i="1"/>
  <c r="P4" i="1"/>
  <c r="AP14" i="3"/>
  <c r="AP13" i="3"/>
  <c r="AP12" i="3"/>
  <c r="AP11" i="3"/>
  <c r="AP10" i="3"/>
  <c r="AP9" i="3"/>
  <c r="AP8" i="3"/>
  <c r="AP7" i="3"/>
  <c r="AP6" i="3"/>
  <c r="O16" i="11"/>
  <c r="O16" i="10"/>
  <c r="O15" i="10"/>
  <c r="O19" i="9" l="1"/>
  <c r="O18" i="9"/>
  <c r="O17" i="9"/>
  <c r="O7" i="8"/>
  <c r="O13" i="1"/>
  <c r="O11" i="1"/>
  <c r="O10" i="1"/>
  <c r="O9" i="1"/>
  <c r="O8" i="1"/>
  <c r="O7" i="1"/>
  <c r="O5" i="1"/>
  <c r="O4" i="1"/>
  <c r="M14" i="8"/>
  <c r="M7" i="8"/>
  <c r="M13" i="1"/>
  <c r="M11" i="1"/>
  <c r="M10" i="1"/>
  <c r="M9" i="1"/>
  <c r="M8" i="1"/>
  <c r="M7" i="1"/>
  <c r="M5" i="1"/>
  <c r="M4" i="1"/>
  <c r="W10" i="6" l="1"/>
  <c r="L23" i="7"/>
  <c r="AB35" i="14"/>
  <c r="AB34" i="14"/>
  <c r="AB33" i="14"/>
  <c r="AB32" i="14"/>
  <c r="AB31" i="14"/>
  <c r="AB30" i="14"/>
  <c r="AB29" i="14"/>
  <c r="AB28" i="14"/>
  <c r="AB27" i="14"/>
  <c r="AB26" i="14"/>
  <c r="AB18" i="14"/>
  <c r="AB17" i="14"/>
  <c r="AB16" i="14"/>
  <c r="AB15" i="14"/>
  <c r="AB14" i="14"/>
  <c r="AB13" i="14"/>
  <c r="AB12" i="14"/>
  <c r="AB11" i="14"/>
  <c r="AB10" i="14"/>
  <c r="AB9" i="14"/>
  <c r="AB8" i="14"/>
  <c r="AB7" i="14"/>
  <c r="AB6" i="14"/>
  <c r="J16" i="11"/>
  <c r="J16" i="10"/>
  <c r="J15" i="10"/>
  <c r="J19" i="9"/>
  <c r="J18" i="9"/>
  <c r="J17" i="9"/>
  <c r="J7" i="8"/>
  <c r="J9" i="7"/>
  <c r="X29" i="14"/>
  <c r="X22" i="14"/>
  <c r="X13" i="14"/>
  <c r="X6" i="14"/>
  <c r="W29" i="14"/>
  <c r="Y22" i="14"/>
  <c r="W22" i="14"/>
  <c r="W13" i="14"/>
  <c r="W6" i="14"/>
  <c r="I23" i="7" l="1"/>
  <c r="I10" i="7"/>
  <c r="I5" i="1"/>
  <c r="G11" i="18"/>
  <c r="R14" i="14"/>
  <c r="R19" i="14"/>
  <c r="Q19" i="14"/>
  <c r="G13" i="1"/>
  <c r="G11" i="1"/>
  <c r="G10" i="1"/>
  <c r="G9" i="1"/>
  <c r="G8" i="1"/>
  <c r="G7" i="1"/>
  <c r="G5" i="1"/>
  <c r="G4" i="1"/>
  <c r="D55" i="9" l="1"/>
  <c r="D54" i="9"/>
  <c r="D53" i="9"/>
  <c r="E55" i="9"/>
  <c r="E54" i="9"/>
  <c r="E53" i="9"/>
  <c r="C18" i="14" l="1"/>
  <c r="B18" i="14"/>
  <c r="J30" i="14" l="1"/>
  <c r="D6" i="1" l="1"/>
  <c r="BC11" i="3" l="1"/>
  <c r="BA11" i="3"/>
  <c r="S23" i="7"/>
  <c r="S18" i="7"/>
  <c r="S13" i="1"/>
  <c r="S11" i="1"/>
  <c r="S10" i="1"/>
  <c r="S9" i="1"/>
  <c r="S8" i="1"/>
  <c r="S7" i="1"/>
  <c r="S5" i="1"/>
  <c r="S4" i="1"/>
  <c r="AW14" i="14" l="1"/>
  <c r="AW13" i="14"/>
  <c r="AW12" i="14"/>
  <c r="R14" i="6" l="1"/>
  <c r="AC15" i="16" l="1"/>
  <c r="AE4" i="16"/>
  <c r="AE5" i="16"/>
  <c r="AE6" i="16"/>
  <c r="AE7" i="16"/>
  <c r="AE8" i="16"/>
  <c r="AE9" i="16"/>
  <c r="AE10" i="16"/>
  <c r="AE12" i="16"/>
  <c r="AE13" i="16"/>
  <c r="AE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D15" i="16"/>
  <c r="AE16" i="16"/>
  <c r="AE17" i="16"/>
  <c r="AE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CI36" i="14"/>
  <c r="CH36" i="14"/>
  <c r="CF36" i="14"/>
  <c r="CE36" i="14"/>
  <c r="CB36" i="14"/>
  <c r="BZ36" i="14"/>
  <c r="BY36" i="14"/>
  <c r="BW36" i="14"/>
  <c r="BV36" i="14"/>
  <c r="BS36" i="14"/>
  <c r="BQ36" i="14"/>
  <c r="BP36" i="14"/>
  <c r="BN36" i="14"/>
  <c r="BM36" i="14"/>
  <c r="BJ36" i="14"/>
  <c r="BH36" i="14"/>
  <c r="BG36" i="14"/>
  <c r="BE36" i="14"/>
  <c r="BD36" i="14"/>
  <c r="BB36" i="14"/>
  <c r="BA36" i="14"/>
  <c r="AY36" i="14"/>
  <c r="AX36" i="14"/>
  <c r="AV36" i="14"/>
  <c r="AU36" i="14"/>
  <c r="AS36" i="14"/>
  <c r="AR36" i="14"/>
  <c r="AP36" i="14"/>
  <c r="AO36" i="14"/>
  <c r="AM36" i="14"/>
  <c r="AL36" i="14"/>
  <c r="AG36" i="14"/>
  <c r="AF36" i="14"/>
  <c r="AD36" i="14"/>
  <c r="AC36" i="14"/>
  <c r="AA36" i="14"/>
  <c r="Z36" i="14"/>
  <c r="U36" i="14"/>
  <c r="T36" i="14"/>
  <c r="R36" i="14"/>
  <c r="Q36" i="14"/>
  <c r="L36" i="14"/>
  <c r="K36" i="14"/>
  <c r="I36" i="14"/>
  <c r="H36" i="14"/>
  <c r="F36" i="14"/>
  <c r="E36" i="14"/>
  <c r="B36" i="14"/>
  <c r="CJ35" i="14"/>
  <c r="CD35" i="14"/>
  <c r="CA35" i="14"/>
  <c r="BX35" i="14"/>
  <c r="BU35" i="14"/>
  <c r="BR35" i="14"/>
  <c r="BL35" i="14"/>
  <c r="BK36" i="14"/>
  <c r="BI35" i="14"/>
  <c r="AZ35" i="14"/>
  <c r="AW35" i="14"/>
  <c r="AT35" i="14"/>
  <c r="AQ35" i="14"/>
  <c r="AN35" i="14"/>
  <c r="AK35" i="14"/>
  <c r="AH35" i="14"/>
  <c r="AE35" i="14"/>
  <c r="Y35" i="14"/>
  <c r="V35" i="14"/>
  <c r="S35" i="14"/>
  <c r="P35" i="14"/>
  <c r="N36" i="14"/>
  <c r="M35" i="14"/>
  <c r="J35" i="14"/>
  <c r="D35" i="14"/>
  <c r="CJ34" i="14"/>
  <c r="CD34" i="14"/>
  <c r="CA34" i="14"/>
  <c r="BX34" i="14"/>
  <c r="BU34" i="14"/>
  <c r="BR34" i="14"/>
  <c r="BL34" i="14"/>
  <c r="AZ34" i="14"/>
  <c r="AW34" i="14"/>
  <c r="AT34" i="14"/>
  <c r="AQ34" i="14"/>
  <c r="AN34" i="14"/>
  <c r="AK34" i="14"/>
  <c r="AE34" i="14"/>
  <c r="Y34" i="14"/>
  <c r="V34" i="14"/>
  <c r="S34" i="14"/>
  <c r="P34" i="14"/>
  <c r="C36" i="14"/>
  <c r="CJ33" i="14"/>
  <c r="CG33" i="14"/>
  <c r="CD33" i="14"/>
  <c r="CA33" i="14"/>
  <c r="BX33" i="14"/>
  <c r="BU33" i="14"/>
  <c r="BR33" i="14"/>
  <c r="BL33" i="14"/>
  <c r="BI33" i="14"/>
  <c r="BC33" i="14"/>
  <c r="AZ33" i="14"/>
  <c r="AW33" i="14"/>
  <c r="AT33" i="14"/>
  <c r="AQ33" i="14"/>
  <c r="AN33" i="14"/>
  <c r="AK33" i="14"/>
  <c r="AH33" i="14"/>
  <c r="AE33" i="14"/>
  <c r="Y33" i="14"/>
  <c r="V33" i="14"/>
  <c r="S33" i="14"/>
  <c r="P33" i="14"/>
  <c r="M33" i="14"/>
  <c r="J33" i="14"/>
  <c r="G33" i="14"/>
  <c r="D33" i="14"/>
  <c r="CJ32" i="14"/>
  <c r="CG32" i="14"/>
  <c r="CD32" i="14"/>
  <c r="CA32" i="14"/>
  <c r="BX32" i="14"/>
  <c r="BU32" i="14"/>
  <c r="BR32" i="14"/>
  <c r="BL32" i="14"/>
  <c r="BC32" i="14"/>
  <c r="AZ32" i="14"/>
  <c r="AW32" i="14"/>
  <c r="AT32" i="14"/>
  <c r="AQ32" i="14"/>
  <c r="AN32" i="14"/>
  <c r="AK32" i="14"/>
  <c r="AH32" i="14"/>
  <c r="AE32" i="14"/>
  <c r="Y32" i="14"/>
  <c r="V32" i="14"/>
  <c r="S32" i="14"/>
  <c r="P32" i="14"/>
  <c r="M32" i="14"/>
  <c r="J32" i="14"/>
  <c r="G32" i="14"/>
  <c r="D32" i="14"/>
  <c r="CJ31" i="14"/>
  <c r="CG31" i="14"/>
  <c r="CD31" i="14"/>
  <c r="CA31" i="14"/>
  <c r="BX31" i="14"/>
  <c r="BU31" i="14"/>
  <c r="BR31" i="14"/>
  <c r="BL31" i="14"/>
  <c r="BI31" i="14"/>
  <c r="BC31" i="14"/>
  <c r="AZ31" i="14"/>
  <c r="AW31" i="14"/>
  <c r="AT31" i="14"/>
  <c r="AQ31" i="14"/>
  <c r="AN31" i="14"/>
  <c r="AK31" i="14"/>
  <c r="AE31" i="14"/>
  <c r="Y31" i="14"/>
  <c r="V31" i="14"/>
  <c r="S31" i="14"/>
  <c r="P31" i="14"/>
  <c r="D31" i="14"/>
  <c r="CJ30" i="14"/>
  <c r="CG30" i="14"/>
  <c r="CD30" i="14"/>
  <c r="CA30" i="14"/>
  <c r="BX30" i="14"/>
  <c r="BU30" i="14"/>
  <c r="BR30" i="14"/>
  <c r="BL30" i="14"/>
  <c r="BI30" i="14"/>
  <c r="BC30" i="14"/>
  <c r="AZ30" i="14"/>
  <c r="AW30" i="14"/>
  <c r="AT30" i="14"/>
  <c r="AQ30" i="14"/>
  <c r="AN30" i="14"/>
  <c r="AJ36" i="14"/>
  <c r="AI36" i="14"/>
  <c r="AH30" i="14"/>
  <c r="AE30" i="14"/>
  <c r="Y30" i="14"/>
  <c r="V30" i="14"/>
  <c r="S30" i="14"/>
  <c r="P30" i="14"/>
  <c r="M30" i="14"/>
  <c r="G30" i="14"/>
  <c r="D30" i="14"/>
  <c r="CJ29" i="14"/>
  <c r="CD29" i="14"/>
  <c r="CA29" i="14"/>
  <c r="BX29" i="14"/>
  <c r="BU29" i="14"/>
  <c r="BR29" i="14"/>
  <c r="BL29" i="14"/>
  <c r="AZ29" i="14"/>
  <c r="AW29" i="14"/>
  <c r="AT29" i="14"/>
  <c r="AQ29" i="14"/>
  <c r="AN29" i="14"/>
  <c r="AK29" i="14"/>
  <c r="AE29" i="14"/>
  <c r="Y29" i="14"/>
  <c r="V29" i="14"/>
  <c r="S29" i="14"/>
  <c r="P29" i="14"/>
  <c r="D29" i="14"/>
  <c r="CJ28" i="14"/>
  <c r="CD28" i="14"/>
  <c r="CA28" i="14"/>
  <c r="BX28" i="14"/>
  <c r="BU28" i="14"/>
  <c r="BR28" i="14"/>
  <c r="BL28" i="14"/>
  <c r="BC28" i="14"/>
  <c r="AZ28" i="14"/>
  <c r="AW28" i="14"/>
  <c r="AT28" i="14"/>
  <c r="AQ28" i="14"/>
  <c r="AN28" i="14"/>
  <c r="AK28" i="14"/>
  <c r="AH28" i="14"/>
  <c r="AE28" i="14"/>
  <c r="Y28" i="14"/>
  <c r="V28" i="14"/>
  <c r="S28" i="14"/>
  <c r="P28" i="14"/>
  <c r="D28" i="14"/>
  <c r="CJ27" i="14"/>
  <c r="CG27" i="14"/>
  <c r="CD27" i="14"/>
  <c r="CA27" i="14"/>
  <c r="BX27" i="14"/>
  <c r="BU27" i="14"/>
  <c r="BR27" i="14"/>
  <c r="BL27" i="14"/>
  <c r="BI27" i="14"/>
  <c r="BC27" i="14"/>
  <c r="AZ27" i="14"/>
  <c r="AW27" i="14"/>
  <c r="AT27" i="14"/>
  <c r="AQ27" i="14"/>
  <c r="AN27" i="14"/>
  <c r="AK27" i="14"/>
  <c r="AH27" i="14"/>
  <c r="AE27" i="14"/>
  <c r="Y27" i="14"/>
  <c r="V27" i="14"/>
  <c r="S27" i="14"/>
  <c r="P27" i="14"/>
  <c r="J27" i="14"/>
  <c r="G27" i="14"/>
  <c r="D27" i="14"/>
  <c r="CJ26" i="14"/>
  <c r="CG26" i="14"/>
  <c r="CD26" i="14"/>
  <c r="CA26" i="14"/>
  <c r="BX26" i="14"/>
  <c r="BU26" i="14"/>
  <c r="BR26" i="14"/>
  <c r="BL26" i="14"/>
  <c r="BI26" i="14"/>
  <c r="BC26" i="14"/>
  <c r="AZ26" i="14"/>
  <c r="AW26" i="14"/>
  <c r="AT26" i="14"/>
  <c r="AQ26" i="14"/>
  <c r="AN26" i="14"/>
  <c r="AK26" i="14"/>
  <c r="AH26" i="14"/>
  <c r="AE26" i="14"/>
  <c r="Y26" i="14"/>
  <c r="V26" i="14"/>
  <c r="S26" i="14"/>
  <c r="P26" i="14"/>
  <c r="M26" i="14"/>
  <c r="J26" i="14"/>
  <c r="G26" i="14"/>
  <c r="D26" i="14"/>
  <c r="CJ25" i="14"/>
  <c r="CG25" i="14"/>
  <c r="CD25" i="14"/>
  <c r="CA25" i="14"/>
  <c r="BX25" i="14"/>
  <c r="BU25" i="14"/>
  <c r="BR25" i="14"/>
  <c r="BL25" i="14"/>
  <c r="BI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J24" i="14"/>
  <c r="CG24" i="14"/>
  <c r="CD24" i="14"/>
  <c r="CA24" i="14"/>
  <c r="BX24" i="14"/>
  <c r="BU24" i="14"/>
  <c r="BR24" i="14"/>
  <c r="BO36" i="14"/>
  <c r="BL24" i="14"/>
  <c r="BI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J23" i="14"/>
  <c r="CG23" i="14"/>
  <c r="CC36" i="14"/>
  <c r="CA23" i="14"/>
  <c r="BX23" i="14"/>
  <c r="BU23" i="14"/>
  <c r="BR23" i="14"/>
  <c r="BL23" i="14"/>
  <c r="BI23" i="14"/>
  <c r="BC23" i="14"/>
  <c r="AZ23" i="14"/>
  <c r="AW23" i="14"/>
  <c r="AT23" i="14"/>
  <c r="AQ23" i="14"/>
  <c r="AN23" i="14"/>
  <c r="AK23" i="14"/>
  <c r="AE23" i="14"/>
  <c r="AB23" i="14"/>
  <c r="Y23" i="14"/>
  <c r="V23" i="14"/>
  <c r="S23" i="14"/>
  <c r="P23" i="14"/>
  <c r="M23" i="14"/>
  <c r="J23" i="14"/>
  <c r="G23" i="14"/>
  <c r="D23" i="14"/>
  <c r="CJ22" i="14"/>
  <c r="CD22" i="14"/>
  <c r="CA22" i="14"/>
  <c r="BX22" i="14"/>
  <c r="BU22" i="14"/>
  <c r="BR22" i="14"/>
  <c r="BL22" i="14"/>
  <c r="BI22" i="14"/>
  <c r="BF36" i="14"/>
  <c r="AZ22" i="14"/>
  <c r="AW22" i="14"/>
  <c r="AT22" i="14"/>
  <c r="AQ22" i="14"/>
  <c r="AN22" i="14"/>
  <c r="AK22" i="14"/>
  <c r="AE22" i="14"/>
  <c r="AB22" i="14"/>
  <c r="X36" i="14"/>
  <c r="W36" i="14"/>
  <c r="V22" i="14"/>
  <c r="S22" i="14"/>
  <c r="P22" i="14"/>
  <c r="D22" i="14"/>
  <c r="CI20" i="14"/>
  <c r="CH20" i="14"/>
  <c r="CF20" i="14"/>
  <c r="CF37" i="14" s="1"/>
  <c r="CE20" i="14"/>
  <c r="CE37" i="14" s="1"/>
  <c r="CC20" i="14"/>
  <c r="BZ20" i="14"/>
  <c r="BY20" i="14"/>
  <c r="BW20" i="14"/>
  <c r="BV20" i="14"/>
  <c r="BQ20" i="14"/>
  <c r="BP20" i="14"/>
  <c r="BP37" i="14" s="1"/>
  <c r="BN20" i="14"/>
  <c r="BM20" i="14"/>
  <c r="BH20" i="14"/>
  <c r="BG20" i="14"/>
  <c r="BE20" i="14"/>
  <c r="BD20" i="14"/>
  <c r="BB20" i="14"/>
  <c r="BA20" i="14"/>
  <c r="BA37" i="14" s="1"/>
  <c r="AY20" i="14"/>
  <c r="AX20" i="14"/>
  <c r="AV20" i="14"/>
  <c r="AU20" i="14"/>
  <c r="AS20" i="14"/>
  <c r="AR20" i="14"/>
  <c r="AP20" i="14"/>
  <c r="AO20" i="14"/>
  <c r="AM20" i="14"/>
  <c r="AL20" i="14"/>
  <c r="AG20" i="14"/>
  <c r="AF20" i="14"/>
  <c r="AA20" i="14"/>
  <c r="Z20" i="14"/>
  <c r="U20" i="14"/>
  <c r="T20" i="14"/>
  <c r="L20" i="14"/>
  <c r="K20" i="14"/>
  <c r="I20" i="14"/>
  <c r="H20" i="14"/>
  <c r="F20" i="14"/>
  <c r="F37" i="14" s="1"/>
  <c r="E20" i="14"/>
  <c r="B20" i="14"/>
  <c r="CJ19" i="14"/>
  <c r="CD19" i="14"/>
  <c r="CA19" i="14"/>
  <c r="BX19" i="14"/>
  <c r="BU19" i="14"/>
  <c r="BR19" i="14"/>
  <c r="BL19" i="14"/>
  <c r="BJ20" i="14"/>
  <c r="BI19" i="14"/>
  <c r="AZ19" i="14"/>
  <c r="AW19" i="14"/>
  <c r="AT19" i="14"/>
  <c r="AQ19" i="14"/>
  <c r="AN19" i="14"/>
  <c r="AK19" i="14"/>
  <c r="AH19" i="14"/>
  <c r="AD20" i="14"/>
  <c r="AC20" i="14"/>
  <c r="AC37" i="14" s="1"/>
  <c r="AB19" i="14"/>
  <c r="Y19" i="14"/>
  <c r="V19" i="14"/>
  <c r="S19" i="14"/>
  <c r="Q20" i="14"/>
  <c r="O20" i="14"/>
  <c r="N20" i="14"/>
  <c r="J19" i="14"/>
  <c r="D19" i="14"/>
  <c r="CJ18" i="14"/>
  <c r="CD18" i="14"/>
  <c r="CA18" i="14"/>
  <c r="BX18" i="14"/>
  <c r="BU18" i="14"/>
  <c r="BS20" i="14"/>
  <c r="BR18" i="14"/>
  <c r="BL18" i="14"/>
  <c r="AZ18" i="14"/>
  <c r="AW18" i="14"/>
  <c r="AT18" i="14"/>
  <c r="AQ18" i="14"/>
  <c r="AN18" i="14"/>
  <c r="AK18" i="14"/>
  <c r="AE18" i="14"/>
  <c r="Y18" i="14"/>
  <c r="V18" i="14"/>
  <c r="S18" i="14"/>
  <c r="P18" i="14"/>
  <c r="C20" i="14"/>
  <c r="CJ17" i="14"/>
  <c r="CG17" i="14"/>
  <c r="CD17" i="14"/>
  <c r="CA17" i="14"/>
  <c r="BX17" i="14"/>
  <c r="BU17" i="14"/>
  <c r="BR17" i="14"/>
  <c r="BL17" i="14"/>
  <c r="BI17" i="14"/>
  <c r="BC17" i="14"/>
  <c r="AZ17" i="14"/>
  <c r="AW17" i="14"/>
  <c r="AT17" i="14"/>
  <c r="AQ17" i="14"/>
  <c r="AN17" i="14"/>
  <c r="AK17" i="14"/>
  <c r="AE17" i="14"/>
  <c r="Y17" i="14"/>
  <c r="V17" i="14"/>
  <c r="S17" i="14"/>
  <c r="P17" i="14"/>
  <c r="M17" i="14"/>
  <c r="J17" i="14"/>
  <c r="G17" i="14"/>
  <c r="D17" i="14"/>
  <c r="CJ16" i="14"/>
  <c r="CG16" i="14"/>
  <c r="CD16" i="14"/>
  <c r="CA16" i="14"/>
  <c r="BX16" i="14"/>
  <c r="BU16" i="14"/>
  <c r="BR16" i="14"/>
  <c r="BL16" i="14"/>
  <c r="BI16" i="14"/>
  <c r="AZ16" i="14"/>
  <c r="AW16" i="14"/>
  <c r="AT16" i="14"/>
  <c r="AQ16" i="14"/>
  <c r="AN16" i="14"/>
  <c r="AK16" i="14"/>
  <c r="AH16" i="14"/>
  <c r="AE16" i="14"/>
  <c r="Y16" i="14"/>
  <c r="V16" i="14"/>
  <c r="S16" i="14"/>
  <c r="P16" i="14"/>
  <c r="M16" i="14"/>
  <c r="J16" i="14"/>
  <c r="G16" i="14"/>
  <c r="D16" i="14"/>
  <c r="CJ15" i="14"/>
  <c r="CG15" i="14"/>
  <c r="CD15" i="14"/>
  <c r="CA15" i="14"/>
  <c r="BX15" i="14"/>
  <c r="BU15" i="14"/>
  <c r="BR15" i="14"/>
  <c r="BL15" i="14"/>
  <c r="BI15" i="14"/>
  <c r="BC15" i="14"/>
  <c r="AZ15" i="14"/>
  <c r="AW15" i="14"/>
  <c r="AT15" i="14"/>
  <c r="AQ15" i="14"/>
  <c r="AN15" i="14"/>
  <c r="AJ20" i="14"/>
  <c r="AI20" i="14"/>
  <c r="AH15" i="14"/>
  <c r="AE15" i="14"/>
  <c r="Y15" i="14"/>
  <c r="V15" i="14"/>
  <c r="S15" i="14"/>
  <c r="P15" i="14"/>
  <c r="M15" i="14"/>
  <c r="J15" i="14"/>
  <c r="G15" i="14"/>
  <c r="D15" i="14"/>
  <c r="CJ14" i="14"/>
  <c r="CG14" i="14"/>
  <c r="CD14" i="14"/>
  <c r="CA14" i="14"/>
  <c r="BX14" i="14"/>
  <c r="BU14" i="14"/>
  <c r="BR14" i="14"/>
  <c r="BL14" i="14"/>
  <c r="BI14" i="14"/>
  <c r="AZ14" i="14"/>
  <c r="AT14" i="14"/>
  <c r="AQ14" i="14"/>
  <c r="AN14" i="14"/>
  <c r="AK14" i="14"/>
  <c r="AE14" i="14"/>
  <c r="Y14" i="14"/>
  <c r="V14" i="14"/>
  <c r="S14" i="14"/>
  <c r="P14" i="14"/>
  <c r="M14" i="14"/>
  <c r="G14" i="14"/>
  <c r="D14" i="14"/>
  <c r="CJ13" i="14"/>
  <c r="CD13" i="14"/>
  <c r="CA13" i="14"/>
  <c r="BX13" i="14"/>
  <c r="BU13" i="14"/>
  <c r="BR13" i="14"/>
  <c r="BL13" i="14"/>
  <c r="AZ13" i="14"/>
  <c r="AT13" i="14"/>
  <c r="AQ13" i="14"/>
  <c r="AN13" i="14"/>
  <c r="AK13" i="14"/>
  <c r="AE13" i="14"/>
  <c r="Y13" i="14"/>
  <c r="V13" i="14"/>
  <c r="S13" i="14"/>
  <c r="P13" i="14"/>
  <c r="D13" i="14"/>
  <c r="CJ12" i="14"/>
  <c r="CG12" i="14"/>
  <c r="CD12" i="14"/>
  <c r="CA12" i="14"/>
  <c r="BX12" i="14"/>
  <c r="BU12" i="14"/>
  <c r="BR12" i="14"/>
  <c r="BL12" i="14"/>
  <c r="BI12" i="14"/>
  <c r="AZ12" i="14"/>
  <c r="AT12" i="14"/>
  <c r="AQ12" i="14"/>
  <c r="AN12" i="14"/>
  <c r="AK12" i="14"/>
  <c r="AH12" i="14"/>
  <c r="AE12" i="14"/>
  <c r="Y12" i="14"/>
  <c r="V12" i="14"/>
  <c r="S12" i="14"/>
  <c r="P12" i="14"/>
  <c r="M12" i="14"/>
  <c r="J12" i="14"/>
  <c r="G12" i="14"/>
  <c r="D12" i="14"/>
  <c r="CJ11" i="14"/>
  <c r="CD11" i="14"/>
  <c r="CA11" i="14"/>
  <c r="BX11" i="14"/>
  <c r="BU11" i="14"/>
  <c r="BR11" i="14"/>
  <c r="BL11" i="14"/>
  <c r="BI11" i="14"/>
  <c r="AZ11" i="14"/>
  <c r="AW11" i="14"/>
  <c r="AT11" i="14"/>
  <c r="AQ11" i="14"/>
  <c r="AN11" i="14"/>
  <c r="AK11" i="14"/>
  <c r="AE11" i="14"/>
  <c r="Y11" i="14"/>
  <c r="V11" i="14"/>
  <c r="S11" i="14"/>
  <c r="P11" i="14"/>
  <c r="J11" i="14"/>
  <c r="G11" i="14"/>
  <c r="D11" i="14"/>
  <c r="CJ10" i="14"/>
  <c r="CD10" i="14"/>
  <c r="CA10" i="14"/>
  <c r="BX10" i="14"/>
  <c r="BU10" i="14"/>
  <c r="BR10" i="14"/>
  <c r="BL10" i="14"/>
  <c r="BI10" i="14"/>
  <c r="AZ10" i="14"/>
  <c r="AW10" i="14"/>
  <c r="AT10" i="14"/>
  <c r="AQ10" i="14"/>
  <c r="AN10" i="14"/>
  <c r="AK10" i="14"/>
  <c r="AE10" i="14"/>
  <c r="Y10" i="14"/>
  <c r="V10" i="14"/>
  <c r="S10" i="14"/>
  <c r="P10" i="14"/>
  <c r="J10" i="14"/>
  <c r="D10" i="14"/>
  <c r="CJ9" i="14"/>
  <c r="CG9" i="14"/>
  <c r="CD9" i="14"/>
  <c r="CA9" i="14"/>
  <c r="BX9" i="14"/>
  <c r="BU9" i="14"/>
  <c r="BR9" i="14"/>
  <c r="BL9" i="14"/>
  <c r="BI9" i="14"/>
  <c r="BC9" i="14"/>
  <c r="AZ9" i="14"/>
  <c r="AW9" i="14"/>
  <c r="AT9" i="14"/>
  <c r="AQ9" i="14"/>
  <c r="AN9" i="14"/>
  <c r="AK9" i="14"/>
  <c r="AH9" i="14"/>
  <c r="AE9" i="14"/>
  <c r="Y9" i="14"/>
  <c r="V9" i="14"/>
  <c r="S9" i="14"/>
  <c r="P9" i="14"/>
  <c r="M9" i="14"/>
  <c r="J9" i="14"/>
  <c r="G9" i="14"/>
  <c r="D9" i="14"/>
  <c r="CJ8" i="14"/>
  <c r="CG8" i="14"/>
  <c r="CD8" i="14"/>
  <c r="CA8" i="14"/>
  <c r="BX8" i="14"/>
  <c r="BU8" i="14"/>
  <c r="BR8" i="14"/>
  <c r="BO20" i="14"/>
  <c r="BL8" i="14"/>
  <c r="BI8" i="14"/>
  <c r="BC8" i="14"/>
  <c r="AZ8" i="14"/>
  <c r="AW8" i="14"/>
  <c r="AT8" i="14"/>
  <c r="AQ8" i="14"/>
  <c r="AN8" i="14"/>
  <c r="AK8" i="14"/>
  <c r="AH8" i="14"/>
  <c r="AE8" i="14"/>
  <c r="Y8" i="14"/>
  <c r="V8" i="14"/>
  <c r="S8" i="14"/>
  <c r="P8" i="14"/>
  <c r="M8" i="14"/>
  <c r="J8" i="14"/>
  <c r="G8" i="14"/>
  <c r="D8" i="14"/>
  <c r="CJ7" i="14"/>
  <c r="CG7" i="14"/>
  <c r="CD7" i="14"/>
  <c r="CA7" i="14"/>
  <c r="BX7" i="14"/>
  <c r="BU7" i="14"/>
  <c r="BR7" i="14"/>
  <c r="BL7" i="14"/>
  <c r="BI7" i="14"/>
  <c r="BC7" i="14"/>
  <c r="AZ7" i="14"/>
  <c r="AW7" i="14"/>
  <c r="AT7" i="14"/>
  <c r="AQ7" i="14"/>
  <c r="AN7" i="14"/>
  <c r="AK7" i="14"/>
  <c r="AE7" i="14"/>
  <c r="Y7" i="14"/>
  <c r="V7" i="14"/>
  <c r="S7" i="14"/>
  <c r="P7" i="14"/>
  <c r="M7" i="14"/>
  <c r="J7" i="14"/>
  <c r="D7" i="14"/>
  <c r="CJ6" i="14"/>
  <c r="CD6" i="14"/>
  <c r="CA6" i="14"/>
  <c r="BX6" i="14"/>
  <c r="BU6" i="14"/>
  <c r="BR6" i="14"/>
  <c r="BL6" i="14"/>
  <c r="BF20" i="14"/>
  <c r="AZ6" i="14"/>
  <c r="AW6" i="14"/>
  <c r="AT6" i="14"/>
  <c r="AQ6" i="14"/>
  <c r="AN6" i="14"/>
  <c r="AK6" i="14"/>
  <c r="AE6" i="14"/>
  <c r="X20" i="14"/>
  <c r="W20" i="14"/>
  <c r="V6" i="14"/>
  <c r="S6" i="14"/>
  <c r="P6" i="14"/>
  <c r="D6" i="14"/>
  <c r="CI37" i="14" l="1"/>
  <c r="BS37" i="14"/>
  <c r="BQ37" i="14"/>
  <c r="BW37" i="14"/>
  <c r="AS37" i="14"/>
  <c r="AL37" i="14"/>
  <c r="AX37" i="14"/>
  <c r="L37" i="14"/>
  <c r="AW20" i="14"/>
  <c r="AN36" i="14"/>
  <c r="M20" i="14"/>
  <c r="G36" i="14"/>
  <c r="AZ20" i="14"/>
  <c r="CA20" i="14"/>
  <c r="AM37" i="14"/>
  <c r="AY37" i="14"/>
  <c r="BM37" i="14"/>
  <c r="BC20" i="14"/>
  <c r="CD20" i="14"/>
  <c r="BN37" i="14"/>
  <c r="V20" i="14"/>
  <c r="CG20" i="14"/>
  <c r="BX36" i="14"/>
  <c r="E37" i="14"/>
  <c r="T37" i="14"/>
  <c r="AZ36" i="14"/>
  <c r="U37" i="14"/>
  <c r="BD37" i="14"/>
  <c r="V36" i="14"/>
  <c r="BE37" i="14"/>
  <c r="BI20" i="14"/>
  <c r="AN20" i="14"/>
  <c r="G20" i="14"/>
  <c r="CG36" i="14"/>
  <c r="J20" i="14"/>
  <c r="AT20" i="14"/>
  <c r="BI36" i="14"/>
  <c r="AG37" i="14"/>
  <c r="AV37" i="14"/>
  <c r="J36" i="14"/>
  <c r="M36" i="14"/>
  <c r="P36" i="14"/>
  <c r="S36" i="14"/>
  <c r="Y36" i="14"/>
  <c r="AE36" i="14"/>
  <c r="AH36" i="14"/>
  <c r="AQ36" i="14"/>
  <c r="AT36" i="14"/>
  <c r="AW36" i="14"/>
  <c r="BC36" i="14"/>
  <c r="BL36" i="14"/>
  <c r="BR36" i="14"/>
  <c r="CA36" i="14"/>
  <c r="BY37" i="14"/>
  <c r="CD36" i="14"/>
  <c r="CJ36" i="14"/>
  <c r="CJ20" i="14"/>
  <c r="CH37" i="14"/>
  <c r="CC37" i="14"/>
  <c r="BZ37" i="14"/>
  <c r="BX20" i="14"/>
  <c r="BV37" i="14"/>
  <c r="BU20" i="14"/>
  <c r="BR20" i="14"/>
  <c r="BL20" i="14"/>
  <c r="BH37" i="14"/>
  <c r="BG37" i="14"/>
  <c r="BB37" i="14"/>
  <c r="AU37" i="14"/>
  <c r="AR37" i="14"/>
  <c r="AQ20" i="14"/>
  <c r="AQ37" i="14" s="1"/>
  <c r="AP37" i="14"/>
  <c r="AO37" i="14"/>
  <c r="AH20" i="14"/>
  <c r="AF37" i="14"/>
  <c r="W37" i="14"/>
  <c r="Q37" i="14"/>
  <c r="S20" i="14"/>
  <c r="K37" i="14"/>
  <c r="H37" i="14"/>
  <c r="I37" i="14"/>
  <c r="B37" i="14"/>
  <c r="Z37" i="14"/>
  <c r="AB36" i="14"/>
  <c r="AB20" i="14"/>
  <c r="AA37" i="14"/>
  <c r="AE19" i="16"/>
  <c r="AE11" i="16"/>
  <c r="AE15" i="16"/>
  <c r="AJ37" i="14"/>
  <c r="BF37" i="14"/>
  <c r="BJ37" i="14"/>
  <c r="X37" i="14"/>
  <c r="BO37" i="14"/>
  <c r="N37" i="14"/>
  <c r="BU36" i="14"/>
  <c r="AI37" i="14"/>
  <c r="C37" i="14"/>
  <c r="AD37" i="14"/>
  <c r="AE19" i="14"/>
  <c r="AE20" i="14" s="1"/>
  <c r="BK20" i="14"/>
  <c r="BK37" i="14" s="1"/>
  <c r="Y6" i="14"/>
  <c r="Y20" i="14" s="1"/>
  <c r="BT20" i="14"/>
  <c r="CB20" i="14"/>
  <c r="CB37" i="14" s="1"/>
  <c r="R20" i="14"/>
  <c r="R37" i="14" s="1"/>
  <c r="O36" i="14"/>
  <c r="O37" i="14" s="1"/>
  <c r="D18" i="14"/>
  <c r="D20" i="14" s="1"/>
  <c r="AK15" i="14"/>
  <c r="AK20" i="14" s="1"/>
  <c r="P19" i="14"/>
  <c r="P20" i="14" s="1"/>
  <c r="AK30" i="14"/>
  <c r="AK36" i="14" s="1"/>
  <c r="BT36" i="14"/>
  <c r="D34" i="14"/>
  <c r="D36" i="14" s="1"/>
  <c r="V37" i="14" l="1"/>
  <c r="BX37" i="14"/>
  <c r="CA37" i="14"/>
  <c r="AW37" i="14"/>
  <c r="P37" i="14"/>
  <c r="M37" i="14"/>
  <c r="AH37" i="14"/>
  <c r="BI37" i="14"/>
  <c r="CD37" i="14"/>
  <c r="CG37" i="14"/>
  <c r="AT37" i="14"/>
  <c r="AN37" i="14"/>
  <c r="AE37" i="14"/>
  <c r="S37" i="14"/>
  <c r="G37" i="14"/>
  <c r="BL37" i="14"/>
  <c r="BC37" i="14"/>
  <c r="AZ37" i="14"/>
  <c r="J37" i="14"/>
  <c r="Y37" i="14"/>
  <c r="BR37" i="14"/>
  <c r="CJ37" i="14"/>
  <c r="BU37" i="14"/>
  <c r="AK37" i="14"/>
  <c r="D37" i="14"/>
  <c r="AB37" i="14"/>
  <c r="BT37" i="14"/>
  <c r="P15" i="2" l="1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EA15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Y15" i="2"/>
  <c r="X15" i="2"/>
  <c r="W15" i="2"/>
  <c r="V15" i="2"/>
  <c r="T15" i="2"/>
  <c r="S15" i="2"/>
  <c r="R15" i="2"/>
  <c r="Q15" i="2"/>
  <c r="BB11" i="6" l="1"/>
  <c r="AE23" i="7" l="1"/>
  <c r="AE21" i="7"/>
  <c r="AE19" i="7"/>
  <c r="AE18" i="7"/>
  <c r="AE17" i="7"/>
  <c r="AE15" i="7"/>
  <c r="AE13" i="7"/>
  <c r="AE12" i="7"/>
  <c r="AE11" i="7"/>
  <c r="AE10" i="7"/>
  <c r="AE9" i="7"/>
  <c r="AE7" i="7"/>
  <c r="AE6" i="7"/>
  <c r="AE5" i="7"/>
  <c r="AD22" i="7"/>
  <c r="AD24" i="7" s="1"/>
  <c r="AC22" i="7"/>
  <c r="AC24" i="7" s="1"/>
  <c r="AB22" i="7"/>
  <c r="AB24" i="7" s="1"/>
  <c r="AA22" i="7"/>
  <c r="AA24" i="7" s="1"/>
  <c r="Z22" i="7"/>
  <c r="Z24" i="7" s="1"/>
  <c r="Y22" i="7"/>
  <c r="Y24" i="7" s="1"/>
  <c r="X22" i="7"/>
  <c r="X24" i="7" s="1"/>
  <c r="W22" i="7"/>
  <c r="W24" i="7" s="1"/>
  <c r="V22" i="7"/>
  <c r="V24" i="7" s="1"/>
  <c r="U22" i="7"/>
  <c r="U24" i="7" s="1"/>
  <c r="T22" i="7"/>
  <c r="S22" i="7"/>
  <c r="S24" i="7" s="1"/>
  <c r="R22" i="7"/>
  <c r="R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E22" i="7"/>
  <c r="E24" i="7" s="1"/>
  <c r="D22" i="7"/>
  <c r="D24" i="7" s="1"/>
  <c r="C22" i="7"/>
  <c r="C24" i="7" s="1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22" i="7"/>
  <c r="B24" i="7" s="1"/>
  <c r="B20" i="7"/>
  <c r="B14" i="7"/>
  <c r="AE28" i="8"/>
  <c r="AE27" i="8"/>
  <c r="AE26" i="8"/>
  <c r="AE23" i="8"/>
  <c r="AE22" i="8"/>
  <c r="AE20" i="8"/>
  <c r="AE19" i="8"/>
  <c r="AE18" i="8"/>
  <c r="AE17" i="8"/>
  <c r="AE16" i="8"/>
  <c r="AE15" i="8"/>
  <c r="AE13" i="8"/>
  <c r="AE12" i="8"/>
  <c r="AE8" i="8"/>
  <c r="AE7" i="8"/>
  <c r="AE6" i="8"/>
  <c r="AE5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D14" i="8"/>
  <c r="Y14" i="8"/>
  <c r="R14" i="8"/>
  <c r="Q14" i="8"/>
  <c r="P14" i="8"/>
  <c r="O14" i="8"/>
  <c r="N14" i="8"/>
  <c r="K14" i="8"/>
  <c r="G14" i="8"/>
  <c r="AD9" i="8"/>
  <c r="AC9" i="8"/>
  <c r="AB9" i="8"/>
  <c r="AA9" i="8"/>
  <c r="Z9" i="8"/>
  <c r="Y9" i="8"/>
  <c r="X9" i="8"/>
  <c r="W9" i="8"/>
  <c r="V9" i="8"/>
  <c r="U9" i="8"/>
  <c r="T9" i="8"/>
  <c r="S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24" i="8"/>
  <c r="B21" i="8"/>
  <c r="B14" i="8"/>
  <c r="B9" i="8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C55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C54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C53" i="9"/>
  <c r="B55" i="9"/>
  <c r="B54" i="9"/>
  <c r="B53" i="9"/>
  <c r="AE61" i="9"/>
  <c r="AE60" i="9"/>
  <c r="AE59" i="9"/>
  <c r="AE49" i="9"/>
  <c r="AE48" i="9"/>
  <c r="AE47" i="9"/>
  <c r="AE43" i="9"/>
  <c r="AE42" i="9"/>
  <c r="AE41" i="9"/>
  <c r="AE37" i="9"/>
  <c r="AE36" i="9"/>
  <c r="AE35" i="9"/>
  <c r="AE31" i="9"/>
  <c r="AE30" i="9"/>
  <c r="AE29" i="9"/>
  <c r="AE25" i="9"/>
  <c r="AE24" i="9"/>
  <c r="AE23" i="9"/>
  <c r="AE19" i="9"/>
  <c r="AE18" i="9"/>
  <c r="AE17" i="9"/>
  <c r="AE13" i="9"/>
  <c r="AE12" i="9"/>
  <c r="AE11" i="9"/>
  <c r="AE7" i="9"/>
  <c r="AE6" i="9"/>
  <c r="AE5" i="9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6" i="10"/>
  <c r="B45" i="10"/>
  <c r="AE51" i="10"/>
  <c r="AE50" i="10"/>
  <c r="AE41" i="10"/>
  <c r="AE40" i="10"/>
  <c r="AE36" i="10"/>
  <c r="AE35" i="10"/>
  <c r="AE31" i="10"/>
  <c r="AE30" i="10"/>
  <c r="AE26" i="10"/>
  <c r="AE25" i="10"/>
  <c r="AE21" i="10"/>
  <c r="AE20" i="10"/>
  <c r="AE16" i="10"/>
  <c r="AE15" i="10"/>
  <c r="AE11" i="10"/>
  <c r="AE10" i="10"/>
  <c r="AE6" i="10"/>
  <c r="AE5" i="10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6" i="11"/>
  <c r="B45" i="11"/>
  <c r="AE51" i="11"/>
  <c r="AE50" i="11"/>
  <c r="AE41" i="11"/>
  <c r="AE40" i="11"/>
  <c r="AE36" i="11"/>
  <c r="AE35" i="11"/>
  <c r="AE31" i="11"/>
  <c r="AE30" i="11"/>
  <c r="AE26" i="11"/>
  <c r="AE25" i="11"/>
  <c r="AE21" i="11"/>
  <c r="AE20" i="11"/>
  <c r="AE16" i="11"/>
  <c r="AE15" i="11"/>
  <c r="AE11" i="11"/>
  <c r="AE10" i="11"/>
  <c r="AE6" i="11"/>
  <c r="AE5" i="11"/>
  <c r="AE17" i="12"/>
  <c r="AE16" i="12"/>
  <c r="AE15" i="12"/>
  <c r="AE13" i="12"/>
  <c r="AE12" i="12"/>
  <c r="AE11" i="12"/>
  <c r="AE10" i="12"/>
  <c r="AE9" i="12"/>
  <c r="AE8" i="12"/>
  <c r="AE7" i="12"/>
  <c r="AE6" i="12"/>
  <c r="AE5" i="12"/>
  <c r="AE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CI14" i="3"/>
  <c r="CF14" i="3"/>
  <c r="CC14" i="3"/>
  <c r="BZ14" i="3"/>
  <c r="BW14" i="3"/>
  <c r="BT14" i="3"/>
  <c r="BQ14" i="3"/>
  <c r="BN14" i="3"/>
  <c r="BK14" i="3"/>
  <c r="BH14" i="3"/>
  <c r="BE14" i="3"/>
  <c r="BB14" i="3"/>
  <c r="AY14" i="3"/>
  <c r="AV14" i="3"/>
  <c r="AS14" i="3"/>
  <c r="AM14" i="3"/>
  <c r="AJ14" i="3"/>
  <c r="AG14" i="3"/>
  <c r="AA14" i="3"/>
  <c r="X14" i="3"/>
  <c r="U14" i="3"/>
  <c r="R14" i="3"/>
  <c r="O14" i="3"/>
  <c r="L14" i="3"/>
  <c r="F14" i="3"/>
  <c r="CI13" i="3"/>
  <c r="CF13" i="3"/>
  <c r="CC13" i="3"/>
  <c r="BZ13" i="3"/>
  <c r="BW13" i="3"/>
  <c r="BT13" i="3"/>
  <c r="BQ13" i="3"/>
  <c r="BN13" i="3"/>
  <c r="BK13" i="3"/>
  <c r="BH13" i="3"/>
  <c r="BE13" i="3"/>
  <c r="BB13" i="3"/>
  <c r="AV13" i="3"/>
  <c r="AS13" i="3"/>
  <c r="AM13" i="3"/>
  <c r="AJ13" i="3"/>
  <c r="AG13" i="3"/>
  <c r="AA13" i="3"/>
  <c r="X13" i="3"/>
  <c r="U13" i="3"/>
  <c r="R13" i="3"/>
  <c r="O13" i="3"/>
  <c r="L13" i="3"/>
  <c r="F13" i="3"/>
  <c r="CI12" i="3"/>
  <c r="CF12" i="3"/>
  <c r="CC12" i="3"/>
  <c r="BZ12" i="3"/>
  <c r="BW12" i="3"/>
  <c r="BT12" i="3"/>
  <c r="BQ12" i="3"/>
  <c r="BN12" i="3"/>
  <c r="BK12" i="3"/>
  <c r="BH12" i="3"/>
  <c r="BE12" i="3"/>
  <c r="BB12" i="3"/>
  <c r="AV12" i="3"/>
  <c r="AS12" i="3"/>
  <c r="AM12" i="3"/>
  <c r="AJ12" i="3"/>
  <c r="AG12" i="3"/>
  <c r="AA12" i="3"/>
  <c r="X12" i="3"/>
  <c r="U12" i="3"/>
  <c r="R12" i="3"/>
  <c r="O12" i="3"/>
  <c r="L12" i="3"/>
  <c r="F12" i="3"/>
  <c r="C12" i="3"/>
  <c r="CI11" i="3"/>
  <c r="CF11" i="3"/>
  <c r="CC11" i="3"/>
  <c r="BZ11" i="3"/>
  <c r="BW11" i="3"/>
  <c r="BT11" i="3"/>
  <c r="BQ11" i="3"/>
  <c r="BN11" i="3"/>
  <c r="BK11" i="3"/>
  <c r="BH11" i="3"/>
  <c r="BE11" i="3"/>
  <c r="BB11" i="3"/>
  <c r="AV11" i="3"/>
  <c r="AS11" i="3"/>
  <c r="AM11" i="3"/>
  <c r="AJ11" i="3"/>
  <c r="AG11" i="3"/>
  <c r="AA11" i="3"/>
  <c r="X11" i="3"/>
  <c r="U11" i="3"/>
  <c r="R11" i="3"/>
  <c r="O11" i="3"/>
  <c r="L11" i="3"/>
  <c r="I11" i="3"/>
  <c r="F11" i="3"/>
  <c r="C11" i="3"/>
  <c r="CI10" i="3"/>
  <c r="CF10" i="3"/>
  <c r="CC10" i="3"/>
  <c r="BZ10" i="3"/>
  <c r="BW10" i="3"/>
  <c r="BT10" i="3"/>
  <c r="BQ10" i="3"/>
  <c r="BN10" i="3"/>
  <c r="BK10" i="3"/>
  <c r="BH10" i="3"/>
  <c r="BE10" i="3"/>
  <c r="BB10" i="3"/>
  <c r="AY10" i="3"/>
  <c r="AV10" i="3"/>
  <c r="AS10" i="3"/>
  <c r="AM10" i="3"/>
  <c r="AJ10" i="3"/>
  <c r="AG10" i="3"/>
  <c r="AA10" i="3"/>
  <c r="X10" i="3"/>
  <c r="U10" i="3"/>
  <c r="R10" i="3"/>
  <c r="O10" i="3"/>
  <c r="L10" i="3"/>
  <c r="I10" i="3"/>
  <c r="F10" i="3"/>
  <c r="C10" i="3"/>
  <c r="CI9" i="3"/>
  <c r="CF9" i="3"/>
  <c r="CC9" i="3"/>
  <c r="BZ9" i="3"/>
  <c r="BW9" i="3"/>
  <c r="BT9" i="3"/>
  <c r="BQ9" i="3"/>
  <c r="BN9" i="3"/>
  <c r="BK9" i="3"/>
  <c r="BH9" i="3"/>
  <c r="BE9" i="3"/>
  <c r="BB9" i="3"/>
  <c r="AY9" i="3"/>
  <c r="AV9" i="3"/>
  <c r="AS9" i="3"/>
  <c r="AM9" i="3"/>
  <c r="AJ9" i="3"/>
  <c r="AG9" i="3"/>
  <c r="AA9" i="3"/>
  <c r="X9" i="3"/>
  <c r="U9" i="3"/>
  <c r="R9" i="3"/>
  <c r="O9" i="3"/>
  <c r="L9" i="3"/>
  <c r="I9" i="3"/>
  <c r="F9" i="3"/>
  <c r="CI8" i="3"/>
  <c r="CF8" i="3"/>
  <c r="CC8" i="3"/>
  <c r="BZ8" i="3"/>
  <c r="BW8" i="3"/>
  <c r="BT8" i="3"/>
  <c r="BQ8" i="3"/>
  <c r="BN8" i="3"/>
  <c r="BK8" i="3"/>
  <c r="BH8" i="3"/>
  <c r="BE8" i="3"/>
  <c r="BB8" i="3"/>
  <c r="AY8" i="3"/>
  <c r="AV8" i="3"/>
  <c r="AS8" i="3"/>
  <c r="AM8" i="3"/>
  <c r="AJ8" i="3"/>
  <c r="AG8" i="3"/>
  <c r="AA8" i="3"/>
  <c r="X8" i="3"/>
  <c r="U8" i="3"/>
  <c r="R8" i="3"/>
  <c r="O8" i="3"/>
  <c r="L8" i="3"/>
  <c r="I8" i="3"/>
  <c r="F8" i="3"/>
  <c r="C8" i="3"/>
  <c r="CI7" i="3"/>
  <c r="CF7" i="3"/>
  <c r="CC7" i="3"/>
  <c r="BZ7" i="3"/>
  <c r="BW7" i="3"/>
  <c r="BT7" i="3"/>
  <c r="BQ7" i="3"/>
  <c r="BN7" i="3"/>
  <c r="BK7" i="3"/>
  <c r="BH7" i="3"/>
  <c r="BE7" i="3"/>
  <c r="BB7" i="3"/>
  <c r="AY7" i="3"/>
  <c r="AV7" i="3"/>
  <c r="AS7" i="3"/>
  <c r="AM7" i="3"/>
  <c r="AJ7" i="3"/>
  <c r="AG7" i="3"/>
  <c r="AA7" i="3"/>
  <c r="X7" i="3"/>
  <c r="U7" i="3"/>
  <c r="R7" i="3"/>
  <c r="O7" i="3"/>
  <c r="L7" i="3"/>
  <c r="I7" i="3"/>
  <c r="F7" i="3"/>
  <c r="C7" i="3"/>
  <c r="CI6" i="3"/>
  <c r="CF6" i="3"/>
  <c r="CC6" i="3"/>
  <c r="BZ6" i="3"/>
  <c r="BW6" i="3"/>
  <c r="BT6" i="3"/>
  <c r="BQ6" i="3"/>
  <c r="BN6" i="3"/>
  <c r="BK6" i="3"/>
  <c r="BH6" i="3"/>
  <c r="BE6" i="3"/>
  <c r="BB6" i="3"/>
  <c r="AY6" i="3"/>
  <c r="AV6" i="3"/>
  <c r="AS6" i="3"/>
  <c r="AM6" i="3"/>
  <c r="AJ6" i="3"/>
  <c r="AG6" i="3"/>
  <c r="AA6" i="3"/>
  <c r="X6" i="3"/>
  <c r="U6" i="3"/>
  <c r="R6" i="3"/>
  <c r="O6" i="3"/>
  <c r="L6" i="3"/>
  <c r="I6" i="3"/>
  <c r="F6" i="3"/>
  <c r="C6" i="3"/>
  <c r="CI5" i="3"/>
  <c r="CF5" i="3"/>
  <c r="CC5" i="3"/>
  <c r="BZ5" i="3"/>
  <c r="BW5" i="3"/>
  <c r="BT5" i="3"/>
  <c r="BQ5" i="3"/>
  <c r="BN5" i="3"/>
  <c r="BK5" i="3"/>
  <c r="BH5" i="3"/>
  <c r="BE5" i="3"/>
  <c r="BB5" i="3"/>
  <c r="AY5" i="3"/>
  <c r="AV5" i="3"/>
  <c r="AS5" i="3"/>
  <c r="AP5" i="3"/>
  <c r="AM5" i="3"/>
  <c r="AJ5" i="3"/>
  <c r="AG5" i="3"/>
  <c r="AA5" i="3"/>
  <c r="X5" i="3"/>
  <c r="U5" i="3"/>
  <c r="R5" i="3"/>
  <c r="O5" i="3"/>
  <c r="L5" i="3"/>
  <c r="I5" i="3"/>
  <c r="F5" i="3"/>
  <c r="V25" i="8" l="1"/>
  <c r="B25" i="8"/>
  <c r="O25" i="8"/>
  <c r="D25" i="8"/>
  <c r="T25" i="8"/>
  <c r="I25" i="8"/>
  <c r="Q25" i="8"/>
  <c r="C25" i="8"/>
  <c r="K25" i="8"/>
  <c r="S25" i="8"/>
  <c r="G25" i="8"/>
  <c r="X25" i="8"/>
  <c r="M25" i="8"/>
  <c r="AE53" i="9"/>
  <c r="AE54" i="9"/>
  <c r="AE14" i="12"/>
  <c r="AA25" i="8"/>
  <c r="Z25" i="8"/>
  <c r="W25" i="8"/>
  <c r="U25" i="8"/>
  <c r="H25" i="8"/>
  <c r="E25" i="8"/>
  <c r="AD25" i="8"/>
  <c r="AC25" i="8"/>
  <c r="AB25" i="8"/>
  <c r="Y25" i="8"/>
  <c r="R25" i="8"/>
  <c r="P25" i="8"/>
  <c r="N25" i="8"/>
  <c r="L25" i="8"/>
  <c r="J25" i="8"/>
  <c r="AE14" i="8"/>
  <c r="AE24" i="8"/>
  <c r="F25" i="8"/>
  <c r="AE21" i="8"/>
  <c r="AE24" i="7"/>
  <c r="AE20" i="7"/>
  <c r="AE14" i="7"/>
  <c r="AE22" i="7"/>
  <c r="AE55" i="9"/>
  <c r="AE45" i="10"/>
  <c r="AE46" i="10"/>
  <c r="AE45" i="11"/>
  <c r="AE46" i="11"/>
  <c r="AE25" i="8" l="1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BG11" i="6"/>
  <c r="BF11" i="6"/>
  <c r="BE11" i="6"/>
  <c r="BD11" i="6"/>
  <c r="BC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5" i="18"/>
  <c r="AE13" i="18"/>
  <c r="AE12" i="18"/>
  <c r="AE11" i="18"/>
  <c r="AE10" i="18"/>
  <c r="AE9" i="18"/>
  <c r="AE8" i="18"/>
  <c r="AE7" i="18"/>
  <c r="AE6" i="18"/>
  <c r="AE5" i="18"/>
  <c r="AE4" i="18"/>
  <c r="AD14" i="18"/>
  <c r="AC14" i="18"/>
  <c r="AB14" i="18"/>
  <c r="AA14" i="18"/>
  <c r="Z14" i="18"/>
  <c r="Y14" i="18"/>
  <c r="X14" i="18"/>
  <c r="W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E13" i="17"/>
  <c r="AE12" i="17"/>
  <c r="AE11" i="17"/>
  <c r="AE10" i="17"/>
  <c r="AE9" i="17"/>
  <c r="AE8" i="17"/>
  <c r="AE7" i="17"/>
  <c r="AE6" i="17"/>
  <c r="AE5" i="17"/>
  <c r="AE4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E31" i="15"/>
  <c r="AE30" i="15"/>
  <c r="AE27" i="15"/>
  <c r="AE26" i="15"/>
  <c r="AE25" i="15"/>
  <c r="AE24" i="15"/>
  <c r="AE23" i="15"/>
  <c r="AE22" i="15"/>
  <c r="AE21" i="15"/>
  <c r="AE18" i="15"/>
  <c r="AE17" i="15"/>
  <c r="AE16" i="15"/>
  <c r="AE15" i="15"/>
  <c r="AE14" i="15"/>
  <c r="AE11" i="15"/>
  <c r="AE10" i="15"/>
  <c r="AE9" i="15"/>
  <c r="AE8" i="15"/>
  <c r="AE7" i="15"/>
  <c r="AE6" i="15"/>
  <c r="AE5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32" i="15"/>
  <c r="B28" i="15"/>
  <c r="B19" i="15"/>
  <c r="B12" i="15"/>
  <c r="AE11" i="13"/>
  <c r="AE10" i="13"/>
  <c r="AE8" i="13"/>
  <c r="AE7" i="13"/>
  <c r="AE6" i="13"/>
  <c r="AE5" i="13"/>
  <c r="AE4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BI14" i="6" l="1"/>
  <c r="BH14" i="6"/>
  <c r="BI11" i="6"/>
  <c r="BH11" i="6"/>
  <c r="AE32" i="15"/>
  <c r="AE19" i="15"/>
  <c r="AE28" i="15"/>
  <c r="AE12" i="15"/>
  <c r="AE14" i="18"/>
  <c r="AE9" i="13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C6" i="1"/>
  <c r="B6" i="1"/>
  <c r="E6" i="1"/>
  <c r="AE13" i="1" l="1"/>
  <c r="AE11" i="1"/>
  <c r="AE10" i="1"/>
  <c r="AE9" i="1"/>
  <c r="AE7" i="1"/>
  <c r="AE5" i="1"/>
  <c r="AE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D14" i="1"/>
  <c r="C14" i="1"/>
  <c r="B14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E6" i="1" l="1"/>
  <c r="AE12" i="1"/>
  <c r="E14" i="1" l="1"/>
  <c r="AE14" i="1"/>
  <c r="AY12" i="3"/>
  <c r="AY11" i="3"/>
  <c r="AY13" i="3"/>
  <c r="AE16" i="17"/>
  <c r="R15" i="17"/>
  <c r="AE15" i="17" s="1"/>
  <c r="R9" i="8"/>
  <c r="AE9" i="8" s="1"/>
  <c r="AE10" i="8"/>
</calcChain>
</file>

<file path=xl/sharedStrings.xml><?xml version="1.0" encoding="utf-8"?>
<sst xmlns="http://schemas.openxmlformats.org/spreadsheetml/2006/main" count="2181" uniqueCount="295">
  <si>
    <t>Particulars</t>
  </si>
  <si>
    <t>Aditya Birla</t>
  </si>
  <si>
    <t>AICL</t>
  </si>
  <si>
    <t>Apollo Munich</t>
  </si>
  <si>
    <t>Bajaj Allianz</t>
  </si>
  <si>
    <t>Bharti Axa</t>
  </si>
  <si>
    <t>Cholamandalam</t>
  </si>
  <si>
    <t>Cigna TTK</t>
  </si>
  <si>
    <t>ECGC</t>
  </si>
  <si>
    <t>Future Generali</t>
  </si>
  <si>
    <t>HDFC Ergo</t>
  </si>
  <si>
    <t>ICICI Lombard</t>
  </si>
  <si>
    <t>Iffco Tokio</t>
  </si>
  <si>
    <t>Kotak</t>
  </si>
  <si>
    <t>Liberty</t>
  </si>
  <si>
    <t>Magma HDI</t>
  </si>
  <si>
    <t>Max Bupa</t>
  </si>
  <si>
    <t>National</t>
  </si>
  <si>
    <t>New India</t>
  </si>
  <si>
    <t>Oriental</t>
  </si>
  <si>
    <t>Raheja</t>
  </si>
  <si>
    <t>Reliance General</t>
  </si>
  <si>
    <t>Religare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</si>
  <si>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</si>
  <si>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</si>
  <si>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</si>
  <si>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</si>
  <si>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</si>
  <si>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</si>
  <si>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</si>
  <si>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</si>
  <si>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</si>
  <si>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</si>
  <si>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</si>
  <si>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</si>
  <si>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</si>
  <si>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</si>
  <si>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</si>
  <si>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</si>
  <si>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</si>
  <si>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</si>
  <si>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</si>
  <si>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</si>
  <si>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in Rs. '000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</si>
  <si>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</si>
  <si>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</si>
  <si>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</si>
  <si>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</si>
  <si>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</si>
  <si>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</si>
  <si>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</si>
  <si>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</si>
  <si>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</si>
  <si>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</si>
  <si>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</si>
  <si>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</si>
  <si>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</si>
  <si>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</si>
  <si>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</si>
  <si>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</si>
  <si>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</si>
  <si>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</si>
  <si>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</si>
  <si>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</si>
  <si>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</si>
  <si>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</si>
  <si>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</si>
  <si>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</si>
  <si>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</si>
  <si>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</si>
  <si>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</si>
  <si>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</si>
  <si>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</si>
  <si>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</si>
  <si>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</si>
  <si>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</si>
  <si>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</si>
  <si>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</si>
  <si>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</si>
  <si>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</si>
  <si>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</si>
  <si>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</si>
  <si>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</si>
  <si>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</si>
  <si>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</si>
  <si>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</si>
  <si>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</si>
  <si>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</si>
  <si>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</si>
  <si>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</si>
  <si>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</si>
  <si>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</si>
  <si>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</si>
  <si>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</si>
  <si>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</si>
  <si>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</si>
  <si>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</si>
  <si>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</si>
  <si>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</si>
  <si>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</si>
  <si>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</si>
  <si>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</si>
  <si>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</si>
  <si>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</si>
  <si>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</si>
  <si>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</si>
  <si>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</si>
  <si>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</si>
  <si>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</si>
  <si>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</si>
  <si>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</si>
  <si>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Deduct: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</si>
  <si>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</si>
  <si>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</si>
  <si>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</si>
  <si>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</si>
  <si>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</si>
  <si>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</si>
  <si>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</si>
  <si>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</si>
  <si>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</si>
  <si>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</si>
  <si>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</si>
  <si>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 xml:space="preserve">NL-40 Business Acquisition Through Different Channels 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</si>
  <si>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</si>
  <si>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</si>
  <si>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</si>
  <si>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</si>
  <si>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</si>
  <si>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</si>
  <si>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</si>
  <si>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</si>
  <si>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</si>
  <si>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</si>
  <si>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</si>
  <si>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</si>
  <si>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NL-30 Analytical Ratios</t>
  </si>
  <si>
    <t>Gross Premium Growth Rate</t>
  </si>
  <si>
    <t>Gross Premium to shareholders' fund ratio</t>
  </si>
  <si>
    <t>Gross Direct Premium to Net Worth Ratio</t>
  </si>
  <si>
    <t>Growth Rate of Net Worth</t>
  </si>
  <si>
    <t>Growth rate of shareholders' fund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</si>
  <si>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</si>
  <si>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</si>
  <si>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</si>
  <si>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</si>
  <si>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</si>
  <si>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</si>
  <si>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</si>
  <si>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</si>
  <si>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</si>
  <si>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</si>
  <si>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</si>
  <si>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</si>
  <si>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</si>
  <si>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</si>
  <si>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Gross NPA Ratio</t>
  </si>
  <si>
    <t>Net NPA Ratio</t>
  </si>
  <si>
    <t>Motor TP</t>
  </si>
  <si>
    <t>Non TP</t>
  </si>
  <si>
    <t>Total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</si>
  <si>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</si>
  <si>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</si>
  <si>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</si>
  <si>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</si>
  <si>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</si>
  <si>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</si>
  <si>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Less than 3 months</t>
  </si>
  <si>
    <t>3 months to 6 months</t>
  </si>
  <si>
    <t>6 months to 1 year</t>
  </si>
  <si>
    <t>1 year and above</t>
  </si>
  <si>
    <t>No. of Claims only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</si>
  <si>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</si>
  <si>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</si>
  <si>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</si>
  <si>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</si>
  <si>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</si>
  <si>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</si>
  <si>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</si>
  <si>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</si>
  <si>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</si>
  <si>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</si>
  <si>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</si>
  <si>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</si>
  <si>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No. of Domestic Reinsurance Placed with Indian Insurance Companies</t>
  </si>
  <si>
    <t>Domestic Capacity</t>
  </si>
  <si>
    <t>No. of Indian reinsurer other than GIC</t>
  </si>
  <si>
    <t>Government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</si>
  <si>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</si>
  <si>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</si>
  <si>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</si>
  <si>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</si>
  <si>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</si>
  <si>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</si>
  <si>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</si>
  <si>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</si>
  <si>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</si>
  <si>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</si>
  <si>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</si>
  <si>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(d) Other securities</t>
  </si>
  <si>
    <t>(e) Non convertible debenture/bonds</t>
  </si>
  <si>
    <t>(f) Subsidiaries</t>
  </si>
  <si>
    <t>(g) Investment properties - Real Estate</t>
  </si>
  <si>
    <t>Investments in Infrastructure and Social Sector</t>
  </si>
  <si>
    <t>Other than Approved Investments</t>
  </si>
  <si>
    <t>TOTAL LONG TERM INVESTMENTS</t>
  </si>
  <si>
    <t>SHORT TERM INVESTMENTS</t>
  </si>
  <si>
    <t>TOTAL SHORT TERM INVESTMENTS</t>
  </si>
  <si>
    <t>(d) Non convertible debenture/bonds</t>
  </si>
  <si>
    <t>(e) Other securities</t>
  </si>
  <si>
    <t>(f) Fixed Deposit with Bank</t>
  </si>
  <si>
    <t>(g) Subsidiaries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</si>
  <si>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</si>
  <si>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</si>
  <si>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</si>
  <si>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</si>
  <si>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</si>
  <si>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</si>
  <si>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</si>
  <si>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</si>
  <si>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</si>
  <si>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</si>
  <si>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</si>
  <si>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Depreciation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</si>
  <si>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</si>
  <si>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</si>
  <si>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</si>
  <si>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</si>
  <si>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</si>
  <si>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</si>
  <si>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</si>
  <si>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</si>
  <si>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LIABILITY</t>
  </si>
  <si>
    <t>AVIATION</t>
  </si>
  <si>
    <t>OTHER MISCELLANEOUS</t>
  </si>
  <si>
    <t>Direct</t>
  </si>
  <si>
    <t>Net Commission</t>
  </si>
  <si>
    <t xml:space="preserve">NL-5 Claims </t>
  </si>
  <si>
    <t>Direct claims</t>
  </si>
  <si>
    <t>Net Premium</t>
  </si>
  <si>
    <t>Net Earned Premium</t>
  </si>
  <si>
    <t xml:space="preserve">NL-4 Premium </t>
  </si>
  <si>
    <t>SOURCES OF FUNDS</t>
  </si>
  <si>
    <t>Share Capital</t>
  </si>
  <si>
    <t>Reserves and Surplus</t>
  </si>
  <si>
    <t>Fair Value Change Account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</si>
  <si>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</si>
  <si>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</si>
  <si>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</si>
  <si>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</si>
  <si>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</si>
  <si>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</si>
  <si>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</si>
  <si>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</si>
  <si>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</si>
  <si>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</si>
  <si>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</si>
  <si>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</si>
  <si>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</si>
  <si>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</si>
  <si>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</si>
  <si>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</si>
  <si>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</si>
  <si>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</si>
  <si>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</si>
  <si>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</si>
  <si>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</si>
  <si>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</si>
  <si>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</si>
  <si>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</si>
  <si>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</si>
  <si>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</si>
  <si>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</si>
  <si>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</si>
  <si>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</si>
  <si>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</si>
  <si>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</si>
  <si>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</si>
  <si>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</si>
  <si>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</si>
  <si>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</si>
  <si>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>Premium from direct business written</t>
  </si>
  <si>
    <r>
      <t xml:space="preserve">NL-23 Reinsurance Risk Concentration
</t>
    </r>
    <r>
      <rPr>
        <b/>
        <sz val="12"/>
        <color theme="4" tint="-0.499984740745262"/>
        <rFont val="Calibri"/>
        <family val="2"/>
        <scheme val="minor"/>
      </rPr>
      <t xml:space="preserve">Rs. In Lakhs </t>
    </r>
  </si>
  <si>
    <t>Total Claims Incurred</t>
  </si>
  <si>
    <t>NL-2 Profit and Loss Account upto the year ended 31 March 2017</t>
  </si>
  <si>
    <t>NL-3 Balance Sheet as at 31 March 2017</t>
  </si>
  <si>
    <t>NL-10 Reserves and Surplus as at 31 March 2017</t>
  </si>
  <si>
    <t>NL-12 Investments as at 31 March 2017</t>
  </si>
  <si>
    <t>NL-13 Loans as at 31 March 2017</t>
  </si>
  <si>
    <t>NL-14 Fixed Assets. Net Block as at 31 March 2017</t>
  </si>
  <si>
    <t>NL-15 Cash and Bank Balance as at 31 March 2017</t>
  </si>
  <si>
    <t>NL-17 Current Liabilities as at 31 March 2017</t>
  </si>
  <si>
    <t>NL-33 Solvency Margin KGII for the period ended 31 March 2017</t>
  </si>
  <si>
    <t>NL-25 Quarterly Claims Data</t>
  </si>
  <si>
    <t>Regional 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</si>
</sst>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5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23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3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100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1" xfId="0" applyBorder="1" applyAlignment="1">
      <alignment wrapText="1"/>
    </xf>
    <xf numFmtId="1" fontId="4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7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7" fillId="0" borderId="0" xfId="0" applyNumberFormat="1" applyFont="1" applyBorder="1"/>
    <xf numFmtId="1" fontId="7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/>
    <xf numFmtId="1" fontId="2" fillId="0" borderId="1" xfId="0" applyNumberFormat="1" applyFont="1" applyBorder="1"/>
    <xf numFmtId="1" fontId="2" fillId="0" borderId="0" xfId="0" applyNumberFormat="1" applyFo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9" fontId="0" fillId="0" borderId="1" xfId="0" applyNumberFormat="1" applyBorder="1"/>
    <xf numFmtId="10" fontId="0" fillId="0" borderId="1" xfId="0" applyNumberFormat="1" applyBorder="1"/>
    <xf numFmtId="164" fontId="0" fillId="0" borderId="1" xfId="0" applyNumberFormat="1" applyBorder="1"/>
    <xf numFmtId="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1" fillId="0" borderId="1" xfId="0" applyNumberFormat="1" applyFont="1" applyBorder="1" applyAlignment="1">
      <alignment horizontal="center"/>
    </xf>
    <xf numFmtId="1" fontId="4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9" fontId="0" fillId="0" borderId="1" xfId="1" applyFont="1" applyBorder="1"/>
    <xf numFmtId="9" fontId="2" fillId="0" borderId="1" xfId="1" applyFont="1" applyBorder="1"/>
    <xf numFmtId="2" fontId="0" fillId="0" borderId="11" xfId="0" applyNumberFormat="1" applyBorder="1"/>
    <xf numFmtId="0" fontId="0" fillId="0" borderId="11" xfId="0" applyBorder="1"/>
    <xf numFmtId="10" fontId="0" fillId="0" borderId="0" xfId="0" applyNumberFormat="1"/>
    <xf numFmtId="10" fontId="2" fillId="0" borderId="1" xfId="1" applyNumberFormat="1" applyFont="1" applyBorder="1" applyAlignment="1">
      <alignment vertical="center" wrapText="1"/>
    </xf>
    <xf numFmtId="2" fontId="0" fillId="0" borderId="1" xfId="0" applyNumberFormat="1" applyBorder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9" fontId="0" fillId="0" borderId="0" xfId="1" applyNumberFormat="1" applyFont="1"/>
    <xf numFmtId="9" fontId="0" fillId="0" borderId="1" xfId="1" applyNumberFormat="1" applyFont="1" applyBorder="1"/>
    <xf numFmtId="9" fontId="2" fillId="0" borderId="1" xfId="1" applyNumberFormat="1" applyFont="1" applyBorder="1"/>
    <xf numFmtId="0" fontId="1" fillId="0" borderId="1" xfId="0" applyFont="1" applyBorder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3"/>
    <cellStyle name="Comma 3" xfId="4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30" width="16" style="6" customWidth="1"/>
    <col min="31" max="31" width="16" style="7" customWidth="1"/>
    <col min="32" max="16384" width="9.140625" style="6"/>
  </cols>
  <sheetData>
    <row r="1" spans="1:31" ht="18.75" x14ac:dyDescent="0.3">
      <c r="A1" s="4" t="s">
        <v>42</v>
      </c>
    </row>
    <row r="2" spans="1:31" x14ac:dyDescent="0.25">
      <c r="A2" s="5" t="s">
        <v>43</v>
      </c>
    </row>
    <row r="3" spans="1:31" x14ac:dyDescent="0.25">
      <c r="A3" s="1" t="s">
        <v>0</v>
      </c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2" t="s">
        <v>8</v>
      </c>
      <c r="J3" s="72" t="s">
        <v>9</v>
      </c>
      <c r="K3" s="72" t="s">
        <v>10</v>
      </c>
      <c r="L3" s="72" t="s">
        <v>11</v>
      </c>
      <c r="M3" s="72" t="s">
        <v>12</v>
      </c>
      <c r="N3" s="72" t="s">
        <v>13</v>
      </c>
      <c r="O3" s="72" t="s">
        <v>14</v>
      </c>
      <c r="P3" s="72" t="s">
        <v>15</v>
      </c>
      <c r="Q3" s="72" t="s">
        <v>16</v>
      </c>
      <c r="R3" s="72" t="s">
        <v>17</v>
      </c>
      <c r="S3" s="72" t="s">
        <v>18</v>
      </c>
      <c r="T3" s="72" t="s">
        <v>19</v>
      </c>
      <c r="U3" s="72" t="s">
        <v>20</v>
      </c>
      <c r="V3" s="72" t="s">
        <v>21</v>
      </c>
      <c r="W3" s="72" t="s">
        <v>22</v>
      </c>
      <c r="X3" s="72" t="s">
        <v>23</v>
      </c>
      <c r="Y3" s="72" t="s">
        <v>24</v>
      </c>
      <c r="Z3" s="72" t="s">
        <v>25</v>
      </c>
      <c r="AA3" s="72" t="s">
        <v>26</v>
      </c>
      <c r="AB3" s="72" t="s">
        <v>27</v>
      </c>
      <c r="AC3" s="71" t="s">
        <v>28</v>
      </c>
      <c r="AD3" s="72" t="s">
        <v>29</v>
      </c>
      <c r="AE3" s="72" t="s">
        <v>30</v>
      </c>
    </row>
    <row r="4" spans="1:31" x14ac:dyDescent="0.25">
      <c r="A4" s="2" t="s">
        <v>31</v>
      </c>
      <c r="B4" s="9">
        <v>134831</v>
      </c>
      <c r="C4" s="9">
        <v>20029820</v>
      </c>
      <c r="D4" s="9">
        <v>11013079</v>
      </c>
      <c r="E4" s="6">
        <v>49370455</v>
      </c>
      <c r="F4" s="9">
        <v>11387974</v>
      </c>
      <c r="G4" s="9">
        <f>112239+492282+21876191</f>
        <v>22480712</v>
      </c>
      <c r="H4" s="9">
        <v>1817687</v>
      </c>
      <c r="I4" s="9">
        <v>8715727.7799999993</v>
      </c>
      <c r="J4" s="9">
        <v>10879039</v>
      </c>
      <c r="K4" s="9">
        <v>3391286</v>
      </c>
      <c r="L4" s="9">
        <v>61636042</v>
      </c>
      <c r="M4" s="9">
        <f>534270+403317+34172398</f>
        <v>35109985</v>
      </c>
      <c r="N4" s="9">
        <v>328573</v>
      </c>
      <c r="O4" s="9">
        <f>63029+34823+4071842</f>
        <v>4169694</v>
      </c>
      <c r="P4" s="9">
        <f>14972+70530+3185392</f>
        <v>3270894</v>
      </c>
      <c r="Q4" s="9">
        <v>5442811</v>
      </c>
      <c r="R4" s="9">
        <v>108036272</v>
      </c>
      <c r="S4" s="9">
        <f>4620266+19186871+154340668</f>
        <v>178147805</v>
      </c>
      <c r="T4" s="9">
        <f>2470270+6103896+75258479</f>
        <v>83832645</v>
      </c>
      <c r="U4" s="9">
        <v>374635</v>
      </c>
      <c r="V4" s="9">
        <f>177197+632678+20079613</f>
        <v>20889488</v>
      </c>
      <c r="W4" s="9">
        <v>4840016.7</v>
      </c>
      <c r="X4" s="9">
        <f>147585+242902+16819391</f>
        <v>17209878</v>
      </c>
      <c r="Y4" s="9">
        <v>14764243</v>
      </c>
      <c r="Z4" s="9">
        <v>16823379</v>
      </c>
      <c r="AA4" s="9">
        <v>19114548</v>
      </c>
      <c r="AB4" s="9">
        <v>24074401</v>
      </c>
      <c r="AC4" s="9">
        <v>120323147</v>
      </c>
      <c r="AD4" s="9">
        <f>66222+585521+5972776</f>
        <v>6624519</v>
      </c>
      <c r="AE4" s="10">
        <f>SUM(B4:AD4)</f>
        <v>864233586.48000002</v>
      </c>
    </row>
    <row r="5" spans="1:31" ht="30" x14ac:dyDescent="0.25">
      <c r="A5" s="2" t="s">
        <v>32</v>
      </c>
      <c r="B5" s="9">
        <v>48432</v>
      </c>
      <c r="C5" s="9">
        <v>1850</v>
      </c>
      <c r="D5" s="9">
        <v>112931</v>
      </c>
      <c r="E5" s="9">
        <v>1642330</v>
      </c>
      <c r="F5" s="9">
        <v>44007</v>
      </c>
      <c r="G5" s="9">
        <f>1266+23257+547247</f>
        <v>571770</v>
      </c>
      <c r="H5" s="9">
        <v>5526</v>
      </c>
      <c r="I5" s="9">
        <f>-0.11+99803.14</f>
        <v>99803.03</v>
      </c>
      <c r="J5" s="9">
        <v>367389</v>
      </c>
      <c r="K5" s="9">
        <v>181590</v>
      </c>
      <c r="L5" s="9">
        <v>2985549</v>
      </c>
      <c r="M5" s="9">
        <f>37899+40701+1914928</f>
        <v>1993528</v>
      </c>
      <c r="N5" s="9">
        <v>10313</v>
      </c>
      <c r="O5" s="9">
        <f>557+1268+23265</f>
        <v>25090</v>
      </c>
      <c r="P5" s="9">
        <f>268+1138+64866</f>
        <v>66272</v>
      </c>
      <c r="Q5" s="9">
        <v>46306</v>
      </c>
      <c r="R5" s="9">
        <v>18996478</v>
      </c>
      <c r="S5" s="9">
        <f>398501+1873968+10367266</f>
        <v>12639735</v>
      </c>
      <c r="T5" s="9">
        <f>335433+802492+8173343</f>
        <v>9311268</v>
      </c>
      <c r="U5" s="9">
        <v>2665</v>
      </c>
      <c r="V5" s="9">
        <f>8452+31852+1104567</f>
        <v>1144871</v>
      </c>
      <c r="W5" s="9">
        <v>29908.5</v>
      </c>
      <c r="X5" s="9">
        <f>3971+17593+474039</f>
        <v>495603</v>
      </c>
      <c r="Y5" s="9">
        <v>229443</v>
      </c>
      <c r="Z5" s="9">
        <v>267972</v>
      </c>
      <c r="AA5" s="9">
        <v>40105</v>
      </c>
      <c r="AB5" s="9">
        <v>584988</v>
      </c>
      <c r="AC5" s="9">
        <v>8635757</v>
      </c>
      <c r="AD5" s="9">
        <f>1005+18617+133102</f>
        <v>152724</v>
      </c>
      <c r="AE5" s="10">
        <f>SUM(B5:AD5)</f>
        <v>60734203.530000001</v>
      </c>
    </row>
    <row r="6" spans="1:31" x14ac:dyDescent="0.25">
      <c r="A6" s="2" t="s">
        <v>33</v>
      </c>
      <c r="B6" s="9">
        <f t="shared" ref="B6:D6" si="0">B8-B7-B5-B4</f>
        <v>0</v>
      </c>
      <c r="C6" s="9">
        <f t="shared" si="0"/>
        <v>46461</v>
      </c>
      <c r="D6" s="9">
        <f t="shared" si="0"/>
        <v>23974</v>
      </c>
      <c r="E6" s="9">
        <f>E8-E7-E5-E4</f>
        <v>138236</v>
      </c>
      <c r="F6" s="9">
        <f t="shared" ref="F6:AE6" si="1">F8-F7-F5-F4</f>
        <v>24729</v>
      </c>
      <c r="G6" s="9">
        <f t="shared" si="1"/>
        <v>67934</v>
      </c>
      <c r="H6" s="9">
        <f t="shared" si="1"/>
        <v>-1</v>
      </c>
      <c r="I6" s="9">
        <f t="shared" si="1"/>
        <v>24801.650000002235</v>
      </c>
      <c r="J6" s="9">
        <f t="shared" si="1"/>
        <v>20574</v>
      </c>
      <c r="K6" s="9">
        <f t="shared" si="1"/>
        <v>-622</v>
      </c>
      <c r="L6" s="9">
        <f t="shared" si="1"/>
        <v>446568</v>
      </c>
      <c r="M6" s="9">
        <f t="shared" si="1"/>
        <v>4541</v>
      </c>
      <c r="N6" s="9">
        <f t="shared" si="1"/>
        <v>14</v>
      </c>
      <c r="O6" s="9">
        <f t="shared" si="1"/>
        <v>2203</v>
      </c>
      <c r="P6" s="9">
        <f t="shared" si="1"/>
        <v>8081</v>
      </c>
      <c r="Q6" s="9">
        <f t="shared" si="1"/>
        <v>0</v>
      </c>
      <c r="R6" s="9">
        <f t="shared" si="1"/>
        <v>166</v>
      </c>
      <c r="S6" s="9">
        <f t="shared" si="1"/>
        <v>0</v>
      </c>
      <c r="T6" s="9">
        <f t="shared" si="1"/>
        <v>-113141</v>
      </c>
      <c r="U6" s="9">
        <f t="shared" si="1"/>
        <v>1782</v>
      </c>
      <c r="V6" s="9">
        <f t="shared" si="1"/>
        <v>5527</v>
      </c>
      <c r="W6" s="9">
        <f t="shared" si="1"/>
        <v>0</v>
      </c>
      <c r="X6" s="9">
        <f t="shared" si="1"/>
        <v>2788</v>
      </c>
      <c r="Y6" s="9">
        <f t="shared" si="1"/>
        <v>7318</v>
      </c>
      <c r="Z6" s="9">
        <f t="shared" si="1"/>
        <v>19552</v>
      </c>
      <c r="AA6" s="9">
        <f t="shared" si="1"/>
        <v>0</v>
      </c>
      <c r="AB6" s="9">
        <f t="shared" si="1"/>
        <v>-8096</v>
      </c>
      <c r="AC6" s="9">
        <f t="shared" si="1"/>
        <v>14777</v>
      </c>
      <c r="AD6" s="9">
        <f t="shared" si="1"/>
        <v>-7574</v>
      </c>
      <c r="AE6" s="10">
        <f t="shared" si="1"/>
        <v>-1025628373.46</v>
      </c>
    </row>
    <row r="7" spans="1:31" x14ac:dyDescent="0.25">
      <c r="A7" s="2" t="s">
        <v>34</v>
      </c>
      <c r="B7" s="9">
        <v>10959</v>
      </c>
      <c r="C7" s="9">
        <v>2681865</v>
      </c>
      <c r="D7" s="9">
        <v>535874</v>
      </c>
      <c r="E7" s="9">
        <v>5742449</v>
      </c>
      <c r="F7" s="9">
        <v>2444800</v>
      </c>
      <c r="G7" s="9">
        <f>6127+112600+2799871</f>
        <v>2918598</v>
      </c>
      <c r="H7" s="9">
        <v>122514</v>
      </c>
      <c r="I7" s="9">
        <v>3715861.55</v>
      </c>
      <c r="J7" s="9">
        <v>1511739</v>
      </c>
      <c r="K7" s="9">
        <v>404230</v>
      </c>
      <c r="L7" s="9">
        <v>7026780</v>
      </c>
      <c r="M7" s="9">
        <f>66039+70922+3336824</f>
        <v>3473785</v>
      </c>
      <c r="N7" s="9">
        <v>25216</v>
      </c>
      <c r="O7" s="9">
        <f>8100+24536+339492</f>
        <v>372128</v>
      </c>
      <c r="P7" s="9">
        <f>2329+9896+563978</f>
        <v>576203</v>
      </c>
      <c r="Q7" s="9">
        <v>290639</v>
      </c>
      <c r="R7" s="9">
        <v>10784737</v>
      </c>
      <c r="S7" s="9">
        <f>545988+2567532+14204235</f>
        <v>17317755</v>
      </c>
      <c r="T7" s="9">
        <f>344062+823137+8383612</f>
        <v>9550811</v>
      </c>
      <c r="U7" s="9">
        <v>72583</v>
      </c>
      <c r="V7" s="9">
        <f>29280+110344+3826506</f>
        <v>3966130</v>
      </c>
      <c r="W7" s="9">
        <v>301793.90000000002</v>
      </c>
      <c r="X7" s="9">
        <f>14047+98836+1895862</f>
        <v>2008745</v>
      </c>
      <c r="Y7" s="9">
        <v>2375860</v>
      </c>
      <c r="Z7" s="9">
        <v>5037604</v>
      </c>
      <c r="AA7" s="9">
        <v>583873</v>
      </c>
      <c r="AB7" s="9">
        <v>2437753</v>
      </c>
      <c r="AC7" s="9">
        <v>13610630</v>
      </c>
      <c r="AD7" s="9">
        <f>4992+92483+661193</f>
        <v>758668</v>
      </c>
      <c r="AE7" s="10">
        <f>SUM(B7:AD7)</f>
        <v>100660583.45</v>
      </c>
    </row>
    <row r="8" spans="1:31" s="7" customFormat="1" x14ac:dyDescent="0.25">
      <c r="A8" s="3" t="s">
        <v>35</v>
      </c>
      <c r="B8" s="10">
        <v>194222</v>
      </c>
      <c r="C8" s="10">
        <v>22759996</v>
      </c>
      <c r="D8" s="10">
        <v>11685858</v>
      </c>
      <c r="E8" s="10">
        <v>56893470</v>
      </c>
      <c r="F8" s="10">
        <v>13901510</v>
      </c>
      <c r="G8" s="10">
        <f>120310+685520+25233184</f>
        <v>26039014</v>
      </c>
      <c r="H8" s="10">
        <v>1945726</v>
      </c>
      <c r="I8" s="10">
        <v>12556194.01</v>
      </c>
      <c r="J8" s="10">
        <v>12778741</v>
      </c>
      <c r="K8" s="10">
        <v>3976484</v>
      </c>
      <c r="L8" s="10">
        <v>72094939</v>
      </c>
      <c r="M8" s="10">
        <f>637766+506222+39437851</f>
        <v>40581839</v>
      </c>
      <c r="N8" s="10">
        <v>364116</v>
      </c>
      <c r="O8" s="10">
        <f>71686+62831+4434598</f>
        <v>4569115</v>
      </c>
      <c r="P8" s="10">
        <f>17569+84535+3819346</f>
        <v>3921450</v>
      </c>
      <c r="Q8" s="10">
        <v>5779756</v>
      </c>
      <c r="R8" s="10">
        <v>137817653</v>
      </c>
      <c r="S8" s="10">
        <f>5564755+23628371+178912169</f>
        <v>208105295</v>
      </c>
      <c r="T8" s="10">
        <f>3140463+7717309+91723811</f>
        <v>102581583</v>
      </c>
      <c r="U8" s="10">
        <v>451665</v>
      </c>
      <c r="V8" s="10">
        <f>215198+774746+25016072</f>
        <v>26006016</v>
      </c>
      <c r="W8" s="10">
        <v>5171719.0999999996</v>
      </c>
      <c r="X8" s="10">
        <f>165603+359331+19192080</f>
        <v>19717014</v>
      </c>
      <c r="Y8" s="10">
        <v>17376864</v>
      </c>
      <c r="Z8" s="10">
        <v>22148507</v>
      </c>
      <c r="AA8" s="10">
        <v>19738526</v>
      </c>
      <c r="AB8" s="10">
        <v>27089046</v>
      </c>
      <c r="AC8" s="10">
        <v>142584311</v>
      </c>
      <c r="AD8" s="10">
        <f>72091+704450+6751796</f>
        <v>7528337</v>
      </c>
      <c r="AE8" s="10"/>
    </row>
    <row r="9" spans="1:31" x14ac:dyDescent="0.25">
      <c r="A9" s="2" t="s">
        <v>36</v>
      </c>
      <c r="B9" s="9">
        <v>149232</v>
      </c>
      <c r="C9" s="9">
        <v>23992172</v>
      </c>
      <c r="D9" s="9">
        <v>6055940</v>
      </c>
      <c r="E9" s="9">
        <v>34762937</v>
      </c>
      <c r="F9" s="9">
        <v>9889215</v>
      </c>
      <c r="G9" s="9">
        <f>59270+153182+16177114</f>
        <v>16389566</v>
      </c>
      <c r="H9" s="9">
        <v>874998</v>
      </c>
      <c r="I9" s="9">
        <v>10566501.810000001</v>
      </c>
      <c r="J9" s="9">
        <v>8410883</v>
      </c>
      <c r="K9" s="9">
        <v>2858992</v>
      </c>
      <c r="L9" s="9">
        <v>49543315</v>
      </c>
      <c r="M9" s="9">
        <f>384063+211477+28181622</f>
        <v>28777162</v>
      </c>
      <c r="N9" s="9">
        <v>240144</v>
      </c>
      <c r="O9" s="9">
        <f>59267+115454+3125216</f>
        <v>3299937</v>
      </c>
      <c r="P9" s="9">
        <f>20948+23368+2543041</f>
        <v>2587357</v>
      </c>
      <c r="Q9" s="9">
        <v>2828120</v>
      </c>
      <c r="R9" s="9">
        <v>105066815</v>
      </c>
      <c r="S9" s="9">
        <f>3493418+19593687+139482182</f>
        <v>162569287</v>
      </c>
      <c r="T9" s="9">
        <f>2099635+5554334+86327048</f>
        <v>93981017</v>
      </c>
      <c r="U9" s="9">
        <v>258387</v>
      </c>
      <c r="V9" s="9">
        <f>184029+677042+18406126</f>
        <v>19267197</v>
      </c>
      <c r="W9" s="9">
        <v>2445090</v>
      </c>
      <c r="X9" s="9">
        <f>74476+116832+13255466</f>
        <v>13446774</v>
      </c>
      <c r="Y9" s="9">
        <v>11075225</v>
      </c>
      <c r="Z9" s="9">
        <v>17254934</v>
      </c>
      <c r="AA9" s="9">
        <v>11567085</v>
      </c>
      <c r="AB9" s="9">
        <v>17411150</v>
      </c>
      <c r="AC9" s="9">
        <v>128815123</v>
      </c>
      <c r="AD9" s="9">
        <f>29044+152279+4516127</f>
        <v>4697450</v>
      </c>
      <c r="AE9" s="10">
        <f>SUM(B9:AD9)</f>
        <v>789082005.80999994</v>
      </c>
    </row>
    <row r="10" spans="1:31" x14ac:dyDescent="0.25">
      <c r="A10" s="2" t="s">
        <v>37</v>
      </c>
      <c r="B10" s="9">
        <v>32497</v>
      </c>
      <c r="C10" s="9">
        <v>-5944947</v>
      </c>
      <c r="D10" s="9">
        <v>948950</v>
      </c>
      <c r="E10" s="9">
        <v>356263</v>
      </c>
      <c r="F10" s="9">
        <v>381344</v>
      </c>
      <c r="G10" s="9">
        <f>-62677+30617+185150</f>
        <v>153090</v>
      </c>
      <c r="H10" s="9">
        <v>245913</v>
      </c>
      <c r="I10" s="9">
        <v>-700480.73</v>
      </c>
      <c r="J10" s="9">
        <v>-325207</v>
      </c>
      <c r="K10" s="9">
        <v>-83412</v>
      </c>
      <c r="L10" s="9">
        <v>-4341303</v>
      </c>
      <c r="M10" s="9">
        <f>-42608-377910-1441575</f>
        <v>-1862093</v>
      </c>
      <c r="N10" s="9">
        <v>36855</v>
      </c>
      <c r="O10" s="9">
        <f>8941+8178+200942</f>
        <v>218061</v>
      </c>
      <c r="P10" s="9">
        <f>-8671-3772+50785</f>
        <v>38342</v>
      </c>
      <c r="Q10" s="9">
        <v>589710</v>
      </c>
      <c r="R10" s="9">
        <v>2892251</v>
      </c>
      <c r="S10" s="9">
        <f>453866+3406043+9371475</f>
        <v>13231384</v>
      </c>
      <c r="T10" s="9">
        <f>246349+686956+4069243</f>
        <v>5002548</v>
      </c>
      <c r="U10" s="9">
        <v>52119</v>
      </c>
      <c r="V10" s="9">
        <f>-33368-256036-1401432</f>
        <v>-1690836</v>
      </c>
      <c r="W10" s="9">
        <v>-430256</v>
      </c>
      <c r="X10" s="9">
        <f>7154-20619+612531</f>
        <v>599066</v>
      </c>
      <c r="Y10" s="9">
        <v>211296</v>
      </c>
      <c r="Z10" s="9">
        <v>180796</v>
      </c>
      <c r="AA10" s="9">
        <v>952942</v>
      </c>
      <c r="AB10" s="9">
        <v>528840</v>
      </c>
      <c r="AC10" s="9">
        <v>6262658</v>
      </c>
      <c r="AD10" s="9">
        <f>-22238+31620-24006</f>
        <v>-14624</v>
      </c>
      <c r="AE10" s="10">
        <f>SUM(B10:AD10)</f>
        <v>17521766.27</v>
      </c>
    </row>
    <row r="11" spans="1:31" ht="30" x14ac:dyDescent="0.25">
      <c r="A11" s="2" t="s">
        <v>38</v>
      </c>
      <c r="B11" s="9">
        <v>851938</v>
      </c>
      <c r="C11" s="9">
        <v>1666674</v>
      </c>
      <c r="D11" s="9">
        <v>3497628</v>
      </c>
      <c r="E11" s="9">
        <v>13614489</v>
      </c>
      <c r="F11" s="9">
        <v>4964549</v>
      </c>
      <c r="G11" s="9">
        <f>27392+229491+6875720</f>
        <v>7132603</v>
      </c>
      <c r="H11" s="9">
        <v>2223723</v>
      </c>
      <c r="I11" s="9">
        <v>1991184.38</v>
      </c>
      <c r="J11" s="9">
        <v>4515239</v>
      </c>
      <c r="K11" s="9">
        <v>1129606</v>
      </c>
      <c r="L11" s="9">
        <v>19820372</v>
      </c>
      <c r="M11" s="9">
        <f>150046+121900+8848582</f>
        <v>9120528</v>
      </c>
      <c r="N11" s="9">
        <v>527182</v>
      </c>
      <c r="O11" s="9">
        <f>40304+65269+3060050</f>
        <v>3165623</v>
      </c>
      <c r="P11" s="9">
        <f>50970+111960+1252772</f>
        <v>1415702</v>
      </c>
      <c r="Q11" s="9">
        <v>2566880</v>
      </c>
      <c r="R11" s="9">
        <v>33320658</v>
      </c>
      <c r="S11" s="9">
        <f>742925+4082754+32988987</f>
        <v>37814666</v>
      </c>
      <c r="T11" s="9">
        <f>416748+2594539+24544159</f>
        <v>27555446</v>
      </c>
      <c r="U11" s="9">
        <v>173547</v>
      </c>
      <c r="V11" s="9">
        <f>18271+310195+7612569</f>
        <v>7941035</v>
      </c>
      <c r="W11" s="9">
        <v>3209386</v>
      </c>
      <c r="X11" s="9">
        <f>46737+118649+5419202</f>
        <v>5584588</v>
      </c>
      <c r="Y11" s="9">
        <v>4989157</v>
      </c>
      <c r="Z11" s="9">
        <v>2111171</v>
      </c>
      <c r="AA11" s="9">
        <v>6357684</v>
      </c>
      <c r="AB11" s="9">
        <v>8780285</v>
      </c>
      <c r="AC11" s="9">
        <v>29691163</v>
      </c>
      <c r="AD11" s="9">
        <f>14444+196495+2098674</f>
        <v>2309613</v>
      </c>
      <c r="AE11" s="10">
        <f>SUM(B11:AD11)</f>
        <v>248042319.38</v>
      </c>
    </row>
    <row r="12" spans="1:31" x14ac:dyDescent="0.25">
      <c r="A12" s="2" t="s">
        <v>41</v>
      </c>
      <c r="B12" s="9">
        <f t="shared" ref="B12:AE12" si="2">B13-B11-B10-B9</f>
        <v>37848</v>
      </c>
      <c r="C12" s="9">
        <f t="shared" si="2"/>
        <v>60994</v>
      </c>
      <c r="D12" s="9">
        <f t="shared" si="2"/>
        <v>-689698</v>
      </c>
      <c r="E12" s="9">
        <f t="shared" si="2"/>
        <v>15011</v>
      </c>
      <c r="F12" s="9">
        <f t="shared" si="2"/>
        <v>-54711</v>
      </c>
      <c r="G12" s="9">
        <f t="shared" si="2"/>
        <v>-2955</v>
      </c>
      <c r="H12" s="9">
        <f t="shared" si="2"/>
        <v>-28051</v>
      </c>
      <c r="I12" s="9">
        <f t="shared" si="2"/>
        <v>-682000.59000000171</v>
      </c>
      <c r="J12" s="9">
        <f t="shared" si="2"/>
        <v>0</v>
      </c>
      <c r="K12" s="9">
        <f t="shared" si="2"/>
        <v>0</v>
      </c>
      <c r="L12" s="9">
        <f t="shared" si="2"/>
        <v>0</v>
      </c>
      <c r="M12" s="9">
        <f t="shared" si="2"/>
        <v>-4885</v>
      </c>
      <c r="N12" s="9">
        <f t="shared" si="2"/>
        <v>246</v>
      </c>
      <c r="O12" s="9">
        <f t="shared" si="2"/>
        <v>-10882</v>
      </c>
      <c r="P12" s="9">
        <f t="shared" si="2"/>
        <v>-11541</v>
      </c>
      <c r="Q12" s="9">
        <f t="shared" si="2"/>
        <v>-1055683</v>
      </c>
      <c r="R12" s="9">
        <f t="shared" si="2"/>
        <v>165719</v>
      </c>
      <c r="S12" s="9">
        <f t="shared" si="2"/>
        <v>59480</v>
      </c>
      <c r="T12" s="9">
        <f t="shared" si="2"/>
        <v>43947</v>
      </c>
      <c r="U12" s="9">
        <f t="shared" si="2"/>
        <v>3716</v>
      </c>
      <c r="V12" s="9">
        <f t="shared" si="2"/>
        <v>-25791</v>
      </c>
      <c r="W12" s="9">
        <f t="shared" si="2"/>
        <v>0</v>
      </c>
      <c r="X12" s="9">
        <f t="shared" si="2"/>
        <v>0</v>
      </c>
      <c r="Y12" s="9">
        <f t="shared" si="2"/>
        <v>0</v>
      </c>
      <c r="Z12" s="9">
        <f t="shared" si="2"/>
        <v>-10000</v>
      </c>
      <c r="AA12" s="9">
        <f t="shared" si="2"/>
        <v>0</v>
      </c>
      <c r="AB12" s="9">
        <f t="shared" si="2"/>
        <v>23090</v>
      </c>
      <c r="AC12" s="9">
        <f t="shared" si="2"/>
        <v>1057975</v>
      </c>
      <c r="AD12" s="9">
        <f t="shared" si="2"/>
        <v>1640</v>
      </c>
      <c r="AE12" s="10">
        <f t="shared" si="2"/>
        <v>-1106531.5899999142</v>
      </c>
    </row>
    <row r="13" spans="1:31" s="7" customFormat="1" x14ac:dyDescent="0.25">
      <c r="A13" s="3" t="s">
        <v>39</v>
      </c>
      <c r="B13" s="10">
        <v>1071515</v>
      </c>
      <c r="C13" s="10">
        <v>19774893</v>
      </c>
      <c r="D13" s="10">
        <v>9812820</v>
      </c>
      <c r="E13" s="10">
        <v>48748700</v>
      </c>
      <c r="F13" s="10">
        <v>15180397</v>
      </c>
      <c r="G13" s="10">
        <f>23985+413290+23235029</f>
        <v>23672304</v>
      </c>
      <c r="H13" s="10">
        <v>3316583</v>
      </c>
      <c r="I13" s="10">
        <v>11175204.869999999</v>
      </c>
      <c r="J13" s="10">
        <v>12600915</v>
      </c>
      <c r="K13" s="10">
        <v>3905186</v>
      </c>
      <c r="L13" s="10">
        <v>65022384</v>
      </c>
      <c r="M13" s="10">
        <f>486616-44533+35588629</f>
        <v>36030712</v>
      </c>
      <c r="N13" s="10">
        <v>804427</v>
      </c>
      <c r="O13" s="10">
        <f>108512+178019+6386208</f>
        <v>6672739</v>
      </c>
      <c r="P13" s="10">
        <f>61249+120107+3848504</f>
        <v>4029860</v>
      </c>
      <c r="Q13" s="10">
        <v>4929027</v>
      </c>
      <c r="R13" s="10">
        <v>141445443</v>
      </c>
      <c r="S13" s="10">
        <f>4691907+27094454+181888456</f>
        <v>213674817</v>
      </c>
      <c r="T13" s="10">
        <f>2806679+8835829+114940450</f>
        <v>126582958</v>
      </c>
      <c r="U13" s="10">
        <v>487769</v>
      </c>
      <c r="V13" s="10">
        <f>143141+731201+24617263</f>
        <v>25491605</v>
      </c>
      <c r="W13" s="10">
        <v>5224220</v>
      </c>
      <c r="X13" s="10">
        <f>128367+214862+19287199</f>
        <v>19630428</v>
      </c>
      <c r="Y13" s="10">
        <v>16275678</v>
      </c>
      <c r="Z13" s="10">
        <v>19536901</v>
      </c>
      <c r="AA13" s="10">
        <v>18877711</v>
      </c>
      <c r="AB13" s="10">
        <v>26743365</v>
      </c>
      <c r="AC13" s="10">
        <v>165826919</v>
      </c>
      <c r="AD13" s="10">
        <f>21250+380394+6592435</f>
        <v>6994079</v>
      </c>
      <c r="AE13" s="10">
        <f>SUM(B13:AD13)</f>
        <v>1053539559.87</v>
      </c>
    </row>
    <row r="14" spans="1:31" s="7" customFormat="1" x14ac:dyDescent="0.25">
      <c r="A14" s="3" t="s">
        <v>40</v>
      </c>
      <c r="B14" s="10">
        <f t="shared" ref="B14:AE14" si="3">B8-B13</f>
        <v>-877293</v>
      </c>
      <c r="C14" s="10">
        <f t="shared" si="3"/>
        <v>2985103</v>
      </c>
      <c r="D14" s="10">
        <f t="shared" si="3"/>
        <v>1873038</v>
      </c>
      <c r="E14" s="10">
        <f t="shared" si="3"/>
        <v>8144770</v>
      </c>
      <c r="F14" s="10">
        <f t="shared" si="3"/>
        <v>-1278887</v>
      </c>
      <c r="G14" s="10">
        <f t="shared" si="3"/>
        <v>2366710</v>
      </c>
      <c r="H14" s="10">
        <f t="shared" si="3"/>
        <v>-1370857</v>
      </c>
      <c r="I14" s="10">
        <f t="shared" si="3"/>
        <v>1380989.1400000006</v>
      </c>
      <c r="J14" s="10">
        <f t="shared" si="3"/>
        <v>177826</v>
      </c>
      <c r="K14" s="10">
        <f t="shared" si="3"/>
        <v>71298</v>
      </c>
      <c r="L14" s="10">
        <f t="shared" si="3"/>
        <v>7072555</v>
      </c>
      <c r="M14" s="10">
        <f t="shared" si="3"/>
        <v>4551127</v>
      </c>
      <c r="N14" s="10">
        <f t="shared" si="3"/>
        <v>-440311</v>
      </c>
      <c r="O14" s="10">
        <f t="shared" si="3"/>
        <v>-2103624</v>
      </c>
      <c r="P14" s="10">
        <f t="shared" si="3"/>
        <v>-108410</v>
      </c>
      <c r="Q14" s="10">
        <f t="shared" si="3"/>
        <v>850729</v>
      </c>
      <c r="R14" s="10">
        <f t="shared" si="3"/>
        <v>-3627790</v>
      </c>
      <c r="S14" s="10">
        <f t="shared" si="3"/>
        <v>-5569522</v>
      </c>
      <c r="T14" s="10">
        <f t="shared" si="3"/>
        <v>-24001375</v>
      </c>
      <c r="U14" s="10">
        <f t="shared" si="3"/>
        <v>-36104</v>
      </c>
      <c r="V14" s="10">
        <f t="shared" si="3"/>
        <v>514411</v>
      </c>
      <c r="W14" s="10">
        <f t="shared" si="3"/>
        <v>-52500.900000000373</v>
      </c>
      <c r="X14" s="10">
        <f t="shared" si="3"/>
        <v>86586</v>
      </c>
      <c r="Y14" s="10">
        <f t="shared" si="3"/>
        <v>1101186</v>
      </c>
      <c r="Z14" s="10">
        <f t="shared" si="3"/>
        <v>2611606</v>
      </c>
      <c r="AA14" s="10">
        <f t="shared" si="3"/>
        <v>860815</v>
      </c>
      <c r="AB14" s="10">
        <f t="shared" si="3"/>
        <v>345681</v>
      </c>
      <c r="AC14" s="10">
        <f t="shared" si="3"/>
        <v>-23242608</v>
      </c>
      <c r="AD14" s="10">
        <f t="shared" si="3"/>
        <v>534258</v>
      </c>
      <c r="AE14" s="10">
        <f t="shared" si="3"/>
        <v>-1053539559.87</v>
      </c>
    </row>
  </sheetData>
  <pageMargins left="0.7" right="0.7" top="0.75" bottom="0.75" header="0.3" footer="0.3"/>
  <pageSetup paperSize="9" orientation="portrait" r:id="rId1"/>
  <ignoredErrors>
    <ignoredError sqref="AE12 AE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style="6" customWidth="1"/>
    <col min="2" max="30" width="16" style="6" customWidth="1"/>
    <col min="31" max="31" width="16" style="7" customWidth="1"/>
    <col min="32" max="16384" width="9.140625" style="6"/>
  </cols>
  <sheetData>
    <row r="1" spans="1:31" ht="18.75" x14ac:dyDescent="0.3">
      <c r="A1" s="12" t="s">
        <v>288</v>
      </c>
    </row>
    <row r="2" spans="1:31" x14ac:dyDescent="0.25">
      <c r="A2" s="5" t="s">
        <v>43</v>
      </c>
    </row>
    <row r="3" spans="1:31" x14ac:dyDescent="0.25">
      <c r="A3" s="1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6</v>
      </c>
      <c r="H3" s="85" t="s">
        <v>7</v>
      </c>
      <c r="I3" s="84" t="s">
        <v>8</v>
      </c>
      <c r="J3" s="84" t="s">
        <v>9</v>
      </c>
      <c r="K3" s="85" t="s">
        <v>10</v>
      </c>
      <c r="L3" s="84" t="s">
        <v>11</v>
      </c>
      <c r="M3" s="84" t="s">
        <v>12</v>
      </c>
      <c r="N3" s="84" t="s">
        <v>13</v>
      </c>
      <c r="O3" s="84" t="s">
        <v>14</v>
      </c>
      <c r="P3" s="84" t="s">
        <v>15</v>
      </c>
      <c r="Q3" s="84" t="s">
        <v>16</v>
      </c>
      <c r="R3" s="84" t="s">
        <v>17</v>
      </c>
      <c r="S3" s="84" t="s">
        <v>18</v>
      </c>
      <c r="T3" s="84" t="s">
        <v>19</v>
      </c>
      <c r="U3" s="85" t="s">
        <v>20</v>
      </c>
      <c r="V3" s="85" t="s">
        <v>21</v>
      </c>
      <c r="W3" s="85" t="s">
        <v>22</v>
      </c>
      <c r="X3" s="85" t="s">
        <v>23</v>
      </c>
      <c r="Y3" s="85" t="s">
        <v>24</v>
      </c>
      <c r="Z3" s="85" t="s">
        <v>25</v>
      </c>
      <c r="AA3" s="85" t="s">
        <v>26</v>
      </c>
      <c r="AB3" s="85" t="s">
        <v>27</v>
      </c>
      <c r="AC3" s="85" t="s">
        <v>28</v>
      </c>
      <c r="AD3" s="85" t="s">
        <v>29</v>
      </c>
      <c r="AE3" s="66" t="s">
        <v>30</v>
      </c>
    </row>
    <row r="4" spans="1:31" x14ac:dyDescent="0.25">
      <c r="A4" s="14" t="s">
        <v>52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0"/>
    </row>
    <row r="5" spans="1:31" x14ac:dyDescent="0.25">
      <c r="A5" s="2" t="s">
        <v>53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>
        <f t="shared" ref="AE5:AE12" si="0">SUM(B5:AD5)</f>
        <v>0</v>
      </c>
    </row>
    <row r="6" spans="1:31" x14ac:dyDescent="0.25">
      <c r="A6" s="2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0">
        <f t="shared" si="0"/>
        <v>0</v>
      </c>
    </row>
    <row r="7" spans="1:31" x14ac:dyDescent="0.25">
      <c r="A7" s="2" t="s">
        <v>55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327958</v>
      </c>
      <c r="S7" s="9">
        <v>2066683</v>
      </c>
      <c r="T7" s="9"/>
      <c r="U7" s="9"/>
      <c r="V7" s="9"/>
      <c r="W7" s="9"/>
      <c r="X7" s="9"/>
      <c r="Y7" s="9"/>
      <c r="Z7" s="9"/>
      <c r="AA7" s="9"/>
      <c r="AB7" s="9"/>
      <c r="AC7" s="9">
        <v>1598708</v>
      </c>
      <c r="AD7" s="9"/>
      <c r="AE7" s="10">
        <f t="shared" si="0"/>
        <v>3993349</v>
      </c>
    </row>
    <row r="8" spans="1:31" x14ac:dyDescent="0.25">
      <c r="A8" s="2" t="s">
        <v>56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>
        <v>482.29782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>
        <f t="shared" si="0"/>
        <v>482.29782</v>
      </c>
    </row>
    <row r="9" spans="1:31" x14ac:dyDescent="0.25">
      <c r="A9" s="2" t="s">
        <v>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10">
        <f t="shared" si="0"/>
        <v>0</v>
      </c>
    </row>
    <row r="10" spans="1:31" x14ac:dyDescent="0.25">
      <c r="A10" s="2" t="s">
        <v>58</v>
      </c>
      <c r="B10" s="9"/>
      <c r="C10" s="9">
        <v>49029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1336095</v>
      </c>
      <c r="S10" s="9">
        <v>1022230</v>
      </c>
      <c r="T10" s="9">
        <f>896249+536412</f>
        <v>1432661</v>
      </c>
      <c r="U10" s="9"/>
      <c r="V10" s="9"/>
      <c r="W10" s="9"/>
      <c r="X10" s="9"/>
      <c r="Y10" s="9"/>
      <c r="Z10" s="9"/>
      <c r="AA10" s="9"/>
      <c r="AB10" s="9"/>
      <c r="AC10" s="9">
        <v>808543</v>
      </c>
      <c r="AD10" s="9"/>
      <c r="AE10" s="10">
        <f t="shared" si="0"/>
        <v>4648558</v>
      </c>
    </row>
    <row r="11" spans="1:31" x14ac:dyDescent="0.25">
      <c r="A11" s="2" t="s">
        <v>59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206796</v>
      </c>
      <c r="S11" s="9"/>
      <c r="T11" s="9">
        <v>64299</v>
      </c>
      <c r="U11" s="9"/>
      <c r="V11" s="9"/>
      <c r="W11" s="9"/>
      <c r="X11" s="9"/>
      <c r="Y11" s="9"/>
      <c r="Z11" s="9"/>
      <c r="AA11" s="9"/>
      <c r="AB11" s="9"/>
      <c r="AC11" s="9">
        <v>180926</v>
      </c>
      <c r="AD11" s="9"/>
      <c r="AE11" s="10">
        <f t="shared" si="0"/>
        <v>452021</v>
      </c>
    </row>
    <row r="12" spans="1:31" s="7" customFormat="1" x14ac:dyDescent="0.25">
      <c r="A12" s="3" t="s">
        <v>51</v>
      </c>
      <c r="B12" s="10">
        <f>SUM(B5:B11)</f>
        <v>0</v>
      </c>
      <c r="C12" s="10">
        <f t="shared" ref="C12:AD12" si="1">SUM(C5:C11)</f>
        <v>49029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10">
        <f t="shared" si="1"/>
        <v>0</v>
      </c>
      <c r="R12" s="10">
        <f t="shared" si="1"/>
        <v>1870849</v>
      </c>
      <c r="S12" s="10">
        <f t="shared" si="1"/>
        <v>3089395.29782</v>
      </c>
      <c r="T12" s="10">
        <f t="shared" si="1"/>
        <v>1496960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0</v>
      </c>
      <c r="Y12" s="10">
        <f t="shared" si="1"/>
        <v>0</v>
      </c>
      <c r="Z12" s="10">
        <f t="shared" si="1"/>
        <v>0</v>
      </c>
      <c r="AA12" s="10">
        <f t="shared" si="1"/>
        <v>0</v>
      </c>
      <c r="AB12" s="10">
        <f t="shared" si="1"/>
        <v>0</v>
      </c>
      <c r="AC12" s="10">
        <f t="shared" si="1"/>
        <v>2588177</v>
      </c>
      <c r="AD12" s="10">
        <f t="shared" si="1"/>
        <v>0</v>
      </c>
      <c r="AE12" s="10">
        <f t="shared" si="0"/>
        <v>9094410.29782</v>
      </c>
    </row>
    <row r="13" spans="1:31" x14ac:dyDescent="0.25">
      <c r="A13" s="14" t="s">
        <v>60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10"/>
    </row>
    <row r="14" spans="1:31" x14ac:dyDescent="0.25">
      <c r="A14" s="2" t="s">
        <v>61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142566</v>
      </c>
      <c r="S14" s="9">
        <v>571689</v>
      </c>
      <c r="T14" s="9">
        <v>347100</v>
      </c>
      <c r="U14" s="9"/>
      <c r="V14" s="9"/>
      <c r="W14" s="9"/>
      <c r="X14" s="9"/>
      <c r="Y14" s="9"/>
      <c r="Z14" s="9"/>
      <c r="AA14" s="9"/>
      <c r="AB14" s="9"/>
      <c r="AC14" s="9">
        <v>808543</v>
      </c>
      <c r="AD14" s="9"/>
      <c r="AE14" s="10">
        <f t="shared" ref="AE14:AE19" si="2">SUM(B14:AD14)</f>
        <v>1869898</v>
      </c>
    </row>
    <row r="15" spans="1:31" x14ac:dyDescent="0.25">
      <c r="A15" s="2" t="s">
        <v>62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0">
        <f t="shared" si="2"/>
        <v>0</v>
      </c>
    </row>
    <row r="16" spans="1:31" x14ac:dyDescent="0.25">
      <c r="A16" s="2" t="s">
        <v>63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v>26862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10">
        <f t="shared" si="2"/>
        <v>26862</v>
      </c>
    </row>
    <row r="17" spans="1:31" x14ac:dyDescent="0.25">
      <c r="A17" s="2" t="s">
        <v>64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391549</v>
      </c>
      <c r="S17" s="9">
        <v>578144</v>
      </c>
      <c r="T17" s="70">
        <v>253611</v>
      </c>
      <c r="U17" s="9"/>
      <c r="V17" s="9"/>
      <c r="W17" s="9"/>
      <c r="X17" s="9"/>
      <c r="Y17" s="9"/>
      <c r="Z17" s="9"/>
      <c r="AA17" s="9"/>
      <c r="AB17" s="9"/>
      <c r="AC17" s="9">
        <v>294110</v>
      </c>
      <c r="AD17" s="9"/>
      <c r="AE17" s="10">
        <f t="shared" si="2"/>
        <v>1517414</v>
      </c>
    </row>
    <row r="18" spans="1:31" x14ac:dyDescent="0.25">
      <c r="A18" s="2" t="s">
        <v>65</v>
      </c>
      <c r="B18" s="9"/>
      <c r="C18" s="9">
        <v>49029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1336734</v>
      </c>
      <c r="S18" s="9">
        <v>1912700</v>
      </c>
      <c r="T18" s="70">
        <v>896249</v>
      </c>
      <c r="U18" s="9"/>
      <c r="V18" s="9"/>
      <c r="W18" s="9"/>
      <c r="X18" s="9"/>
      <c r="Y18" s="9"/>
      <c r="Z18" s="9"/>
      <c r="AA18" s="9"/>
      <c r="AB18" s="9"/>
      <c r="AC18" s="9">
        <v>1485524</v>
      </c>
      <c r="AD18" s="9"/>
      <c r="AE18" s="10">
        <f t="shared" si="2"/>
        <v>5680236</v>
      </c>
    </row>
    <row r="19" spans="1:31" s="7" customFormat="1" x14ac:dyDescent="0.25">
      <c r="A19" s="3" t="s">
        <v>51</v>
      </c>
      <c r="B19" s="10">
        <f>SUM(B14:B18)</f>
        <v>0</v>
      </c>
      <c r="C19" s="10">
        <f t="shared" ref="C19:AD19" si="3">SUM(C14:C18)</f>
        <v>49029</v>
      </c>
      <c r="D19" s="10">
        <f t="shared" si="3"/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  <c r="O19" s="10">
        <f t="shared" si="3"/>
        <v>0</v>
      </c>
      <c r="P19" s="10">
        <f t="shared" si="3"/>
        <v>0</v>
      </c>
      <c r="Q19" s="10">
        <f t="shared" si="3"/>
        <v>0</v>
      </c>
      <c r="R19" s="10">
        <f t="shared" si="3"/>
        <v>1870849</v>
      </c>
      <c r="S19" s="10">
        <f t="shared" si="3"/>
        <v>3089395</v>
      </c>
      <c r="T19" s="10">
        <f t="shared" si="3"/>
        <v>1496960</v>
      </c>
      <c r="U19" s="10">
        <f t="shared" si="3"/>
        <v>0</v>
      </c>
      <c r="V19" s="10">
        <f t="shared" si="3"/>
        <v>0</v>
      </c>
      <c r="W19" s="10">
        <f t="shared" si="3"/>
        <v>0</v>
      </c>
      <c r="X19" s="10">
        <f t="shared" si="3"/>
        <v>0</v>
      </c>
      <c r="Y19" s="10">
        <f t="shared" si="3"/>
        <v>0</v>
      </c>
      <c r="Z19" s="10">
        <f t="shared" si="3"/>
        <v>0</v>
      </c>
      <c r="AA19" s="10">
        <f t="shared" si="3"/>
        <v>0</v>
      </c>
      <c r="AB19" s="10">
        <f t="shared" si="3"/>
        <v>0</v>
      </c>
      <c r="AC19" s="10">
        <f t="shared" si="3"/>
        <v>2588177</v>
      </c>
      <c r="AD19" s="10">
        <f t="shared" si="3"/>
        <v>0</v>
      </c>
      <c r="AE19" s="10">
        <f t="shared" si="2"/>
        <v>9094410</v>
      </c>
    </row>
    <row r="20" spans="1:31" x14ac:dyDescent="0.25">
      <c r="A20" s="14" t="s">
        <v>66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10"/>
    </row>
    <row r="21" spans="1:31" x14ac:dyDescent="0.25">
      <c r="A21" s="2" t="s">
        <v>67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0">
        <f t="shared" ref="AE21:AE28" si="4">SUM(B21:AD21)</f>
        <v>0</v>
      </c>
    </row>
    <row r="22" spans="1:31" x14ac:dyDescent="0.25">
      <c r="A22" s="2" t="s">
        <v>55</v>
      </c>
      <c r="B22" s="9"/>
      <c r="C22" s="9">
        <v>49029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1572995</v>
      </c>
      <c r="S22" s="9">
        <v>2435628</v>
      </c>
      <c r="T22" s="70">
        <v>1255729</v>
      </c>
      <c r="U22" s="9"/>
      <c r="V22" s="9"/>
      <c r="W22" s="9"/>
      <c r="X22" s="9"/>
      <c r="Y22" s="9"/>
      <c r="Z22" s="9"/>
      <c r="AA22" s="9"/>
      <c r="AB22" s="9"/>
      <c r="AC22" s="9">
        <v>2425748</v>
      </c>
      <c r="AD22" s="9"/>
      <c r="AE22" s="10">
        <f t="shared" si="4"/>
        <v>7739129</v>
      </c>
    </row>
    <row r="23" spans="1:31" x14ac:dyDescent="0.25">
      <c r="A23" s="2" t="s">
        <v>56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v>482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>
        <f t="shared" si="4"/>
        <v>482</v>
      </c>
    </row>
    <row r="24" spans="1:31" x14ac:dyDescent="0.25">
      <c r="A24" s="2" t="s">
        <v>68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10">
        <f t="shared" si="4"/>
        <v>0</v>
      </c>
    </row>
    <row r="25" spans="1:31" x14ac:dyDescent="0.25">
      <c r="A25" s="2" t="s">
        <v>55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v>297854</v>
      </c>
      <c r="S25" s="9">
        <v>626423</v>
      </c>
      <c r="T25" s="70">
        <v>11856</v>
      </c>
      <c r="U25" s="9"/>
      <c r="V25" s="9"/>
      <c r="W25" s="9"/>
      <c r="X25" s="9"/>
      <c r="Y25" s="9"/>
      <c r="Z25" s="9"/>
      <c r="AA25" s="9"/>
      <c r="AB25" s="9"/>
      <c r="AC25" s="9">
        <v>162429</v>
      </c>
      <c r="AD25" s="9"/>
      <c r="AE25" s="10">
        <f t="shared" si="4"/>
        <v>1098562</v>
      </c>
    </row>
    <row r="26" spans="1:31" x14ac:dyDescent="0.25">
      <c r="A26" s="2" t="s">
        <v>56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10">
        <f t="shared" si="4"/>
        <v>0</v>
      </c>
    </row>
    <row r="27" spans="1:31" x14ac:dyDescent="0.25">
      <c r="A27" s="2" t="s">
        <v>69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v>26862</v>
      </c>
      <c r="T27" s="70">
        <v>229375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10">
        <f t="shared" si="4"/>
        <v>256237</v>
      </c>
    </row>
    <row r="28" spans="1:31" s="7" customFormat="1" x14ac:dyDescent="0.25">
      <c r="A28" s="3" t="s">
        <v>51</v>
      </c>
      <c r="B28" s="10">
        <f>SUM(B21:B27)</f>
        <v>0</v>
      </c>
      <c r="C28" s="10">
        <f t="shared" ref="C28:AD28" si="5">SUM(C21:C27)</f>
        <v>49029</v>
      </c>
      <c r="D28" s="10">
        <f t="shared" si="5"/>
        <v>0</v>
      </c>
      <c r="E28" s="10">
        <f t="shared" si="5"/>
        <v>0</v>
      </c>
      <c r="F28" s="10">
        <f t="shared" si="5"/>
        <v>0</v>
      </c>
      <c r="G28" s="10">
        <f t="shared" si="5"/>
        <v>0</v>
      </c>
      <c r="H28" s="10">
        <f t="shared" si="5"/>
        <v>0</v>
      </c>
      <c r="I28" s="10">
        <f t="shared" si="5"/>
        <v>0</v>
      </c>
      <c r="J28" s="10">
        <f t="shared" si="5"/>
        <v>0</v>
      </c>
      <c r="K28" s="10">
        <f t="shared" si="5"/>
        <v>0</v>
      </c>
      <c r="L28" s="10">
        <f t="shared" si="5"/>
        <v>0</v>
      </c>
      <c r="M28" s="10">
        <f t="shared" si="5"/>
        <v>0</v>
      </c>
      <c r="N28" s="10">
        <f t="shared" si="5"/>
        <v>0</v>
      </c>
      <c r="O28" s="10">
        <f t="shared" si="5"/>
        <v>0</v>
      </c>
      <c r="P28" s="10">
        <f t="shared" si="5"/>
        <v>0</v>
      </c>
      <c r="Q28" s="10">
        <f t="shared" si="5"/>
        <v>0</v>
      </c>
      <c r="R28" s="10">
        <f t="shared" si="5"/>
        <v>1870849</v>
      </c>
      <c r="S28" s="10">
        <f t="shared" si="5"/>
        <v>3089395</v>
      </c>
      <c r="T28" s="10">
        <f t="shared" si="5"/>
        <v>1496960</v>
      </c>
      <c r="U28" s="10">
        <f t="shared" si="5"/>
        <v>0</v>
      </c>
      <c r="V28" s="10">
        <f t="shared" si="5"/>
        <v>0</v>
      </c>
      <c r="W28" s="10">
        <f t="shared" si="5"/>
        <v>0</v>
      </c>
      <c r="X28" s="10">
        <f t="shared" si="5"/>
        <v>0</v>
      </c>
      <c r="Y28" s="10">
        <f t="shared" si="5"/>
        <v>0</v>
      </c>
      <c r="Z28" s="10">
        <f t="shared" si="5"/>
        <v>0</v>
      </c>
      <c r="AA28" s="10">
        <f t="shared" si="5"/>
        <v>0</v>
      </c>
      <c r="AB28" s="10">
        <f t="shared" si="5"/>
        <v>0</v>
      </c>
      <c r="AC28" s="10">
        <f t="shared" si="5"/>
        <v>2588177</v>
      </c>
      <c r="AD28" s="10">
        <f t="shared" si="5"/>
        <v>0</v>
      </c>
      <c r="AE28" s="10">
        <f t="shared" si="4"/>
        <v>9094410</v>
      </c>
    </row>
    <row r="29" spans="1:31" x14ac:dyDescent="0.25">
      <c r="A29" s="14" t="s">
        <v>70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10"/>
    </row>
    <row r="30" spans="1:31" x14ac:dyDescent="0.25">
      <c r="A30" s="2" t="s">
        <v>71</v>
      </c>
      <c r="B30" s="9"/>
      <c r="C30" s="9">
        <v>3614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v>8471</v>
      </c>
      <c r="S30" s="9">
        <v>103123</v>
      </c>
      <c r="T30" s="70">
        <v>20656</v>
      </c>
      <c r="U30" s="9"/>
      <c r="V30" s="9"/>
      <c r="W30" s="9"/>
      <c r="X30" s="9"/>
      <c r="Y30" s="9"/>
      <c r="Z30" s="9"/>
      <c r="AA30" s="9"/>
      <c r="AB30" s="9"/>
      <c r="AC30" s="9">
        <v>164369</v>
      </c>
      <c r="AD30" s="9"/>
      <c r="AE30" s="10">
        <f>SUM(B30:AD30)</f>
        <v>300233</v>
      </c>
    </row>
    <row r="31" spans="1:31" x14ac:dyDescent="0.25">
      <c r="A31" s="2" t="s">
        <v>72</v>
      </c>
      <c r="B31" s="9"/>
      <c r="C31" s="9">
        <v>45415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v>1862378</v>
      </c>
      <c r="S31" s="9">
        <v>2986272</v>
      </c>
      <c r="T31" s="70">
        <v>1476304</v>
      </c>
      <c r="U31" s="9"/>
      <c r="V31" s="9"/>
      <c r="W31" s="9"/>
      <c r="X31" s="9"/>
      <c r="Y31" s="9"/>
      <c r="Z31" s="9"/>
      <c r="AA31" s="9"/>
      <c r="AB31" s="9"/>
      <c r="AC31" s="9">
        <v>2423808</v>
      </c>
      <c r="AD31" s="9"/>
      <c r="AE31" s="10">
        <f>SUM(B31:AD31)</f>
        <v>8794177</v>
      </c>
    </row>
    <row r="32" spans="1:31" s="7" customFormat="1" x14ac:dyDescent="0.25">
      <c r="A32" s="3" t="s">
        <v>51</v>
      </c>
      <c r="B32" s="10">
        <f>SUM(B30:B31)</f>
        <v>0</v>
      </c>
      <c r="C32" s="10">
        <f t="shared" ref="C32:AD32" si="6">SUM(C30:C31)</f>
        <v>49029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  <c r="H32" s="10">
        <f t="shared" si="6"/>
        <v>0</v>
      </c>
      <c r="I32" s="10">
        <f t="shared" si="6"/>
        <v>0</v>
      </c>
      <c r="J32" s="10">
        <f t="shared" si="6"/>
        <v>0</v>
      </c>
      <c r="K32" s="10">
        <f t="shared" si="6"/>
        <v>0</v>
      </c>
      <c r="L32" s="10">
        <f t="shared" si="6"/>
        <v>0</v>
      </c>
      <c r="M32" s="10">
        <f t="shared" si="6"/>
        <v>0</v>
      </c>
      <c r="N32" s="10">
        <f t="shared" si="6"/>
        <v>0</v>
      </c>
      <c r="O32" s="10">
        <f t="shared" si="6"/>
        <v>0</v>
      </c>
      <c r="P32" s="10">
        <f t="shared" si="6"/>
        <v>0</v>
      </c>
      <c r="Q32" s="10">
        <f t="shared" si="6"/>
        <v>0</v>
      </c>
      <c r="R32" s="10">
        <f t="shared" si="6"/>
        <v>1870849</v>
      </c>
      <c r="S32" s="10">
        <f t="shared" si="6"/>
        <v>3089395</v>
      </c>
      <c r="T32" s="10">
        <f t="shared" si="6"/>
        <v>1496960</v>
      </c>
      <c r="U32" s="10">
        <f t="shared" si="6"/>
        <v>0</v>
      </c>
      <c r="V32" s="10">
        <f t="shared" si="6"/>
        <v>0</v>
      </c>
      <c r="W32" s="10">
        <f t="shared" si="6"/>
        <v>0</v>
      </c>
      <c r="X32" s="10">
        <f t="shared" si="6"/>
        <v>0</v>
      </c>
      <c r="Y32" s="10">
        <f t="shared" si="6"/>
        <v>0</v>
      </c>
      <c r="Z32" s="10">
        <f t="shared" si="6"/>
        <v>0</v>
      </c>
      <c r="AA32" s="10">
        <f t="shared" si="6"/>
        <v>0</v>
      </c>
      <c r="AB32" s="10">
        <f t="shared" si="6"/>
        <v>0</v>
      </c>
      <c r="AC32" s="10">
        <f t="shared" si="6"/>
        <v>2588177</v>
      </c>
      <c r="AD32" s="10">
        <f t="shared" si="6"/>
        <v>0</v>
      </c>
      <c r="AE32" s="10">
        <f>SUM(B32:AD32)</f>
        <v>9094410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30" width="16" style="6" customWidth="1"/>
    <col min="31" max="31" width="16" style="7" customWidth="1"/>
    <col min="32" max="16384" width="9.140625" style="6"/>
  </cols>
  <sheetData>
    <row r="1" spans="1:31" ht="18.75" x14ac:dyDescent="0.3">
      <c r="A1" s="12" t="s">
        <v>289</v>
      </c>
    </row>
    <row r="2" spans="1:31" x14ac:dyDescent="0.25">
      <c r="A2" s="5" t="s">
        <v>43</v>
      </c>
    </row>
    <row r="3" spans="1:31" x14ac:dyDescent="0.25">
      <c r="A3" s="1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  <c r="K3" s="65" t="s">
        <v>10</v>
      </c>
      <c r="L3" s="65" t="s">
        <v>11</v>
      </c>
      <c r="M3" s="65" t="s">
        <v>12</v>
      </c>
      <c r="N3" s="65" t="s">
        <v>13</v>
      </c>
      <c r="O3" s="65" t="s">
        <v>14</v>
      </c>
      <c r="P3" s="65" t="s">
        <v>15</v>
      </c>
      <c r="Q3" s="65" t="s">
        <v>16</v>
      </c>
      <c r="R3" s="65" t="s">
        <v>17</v>
      </c>
      <c r="S3" s="65" t="s">
        <v>18</v>
      </c>
      <c r="T3" s="82" t="s">
        <v>19</v>
      </c>
      <c r="U3" s="65" t="s">
        <v>20</v>
      </c>
      <c r="V3" s="65" t="s">
        <v>21</v>
      </c>
      <c r="W3" s="65" t="s">
        <v>22</v>
      </c>
      <c r="X3" s="65" t="s">
        <v>23</v>
      </c>
      <c r="Y3" s="65" t="s">
        <v>24</v>
      </c>
      <c r="Z3" s="65" t="s">
        <v>25</v>
      </c>
      <c r="AA3" s="65" t="s">
        <v>26</v>
      </c>
      <c r="AB3" s="65" t="s">
        <v>27</v>
      </c>
      <c r="AC3" s="64" t="s">
        <v>28</v>
      </c>
      <c r="AD3" s="65" t="s">
        <v>29</v>
      </c>
      <c r="AE3" s="40" t="s">
        <v>30</v>
      </c>
    </row>
    <row r="4" spans="1:31" x14ac:dyDescent="0.25">
      <c r="A4" s="2" t="s">
        <v>73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0">
        <f t="shared" ref="AE4:AE19" si="0">SUM(B4:AD4)</f>
        <v>0</v>
      </c>
    </row>
    <row r="5" spans="1:31" x14ac:dyDescent="0.25">
      <c r="A5" s="2" t="s">
        <v>74</v>
      </c>
      <c r="B5" s="9">
        <v>154496</v>
      </c>
      <c r="C5" s="9">
        <v>127324</v>
      </c>
      <c r="D5" s="9">
        <v>126582</v>
      </c>
      <c r="E5" s="9">
        <v>32968</v>
      </c>
      <c r="F5" s="9">
        <v>37666</v>
      </c>
      <c r="G5" s="9">
        <v>101814</v>
      </c>
      <c r="H5" s="9">
        <v>35</v>
      </c>
      <c r="I5" s="9">
        <v>3435.55</v>
      </c>
      <c r="J5" s="9">
        <v>43852</v>
      </c>
      <c r="K5" s="9">
        <v>1756</v>
      </c>
      <c r="L5" s="9">
        <v>740391</v>
      </c>
      <c r="M5" s="9">
        <v>43052</v>
      </c>
      <c r="N5" s="9">
        <v>83120</v>
      </c>
      <c r="O5" s="9">
        <v>124433</v>
      </c>
      <c r="P5" s="9">
        <v>73096</v>
      </c>
      <c r="Q5" s="9">
        <f>143+177424</f>
        <v>177567</v>
      </c>
      <c r="R5" s="9">
        <v>288068</v>
      </c>
      <c r="S5" s="9">
        <v>33865</v>
      </c>
      <c r="T5" s="70">
        <v>207197</v>
      </c>
      <c r="U5" s="9">
        <v>1</v>
      </c>
      <c r="V5" s="9">
        <v>179779</v>
      </c>
      <c r="W5" s="9">
        <v>334903.90000000002</v>
      </c>
      <c r="X5" s="9">
        <v>71051</v>
      </c>
      <c r="Y5" s="9">
        <v>204372</v>
      </c>
      <c r="Z5" s="9">
        <v>12079</v>
      </c>
      <c r="AA5" s="9">
        <v>260611</v>
      </c>
      <c r="AB5" s="9">
        <v>223634</v>
      </c>
      <c r="AC5" s="9">
        <v>163687</v>
      </c>
      <c r="AD5" s="9">
        <v>31817</v>
      </c>
      <c r="AE5" s="10">
        <f t="shared" si="0"/>
        <v>3882652.4499999997</v>
      </c>
    </row>
    <row r="6" spans="1:31" x14ac:dyDescent="0.25">
      <c r="A6" s="2" t="s">
        <v>75</v>
      </c>
      <c r="B6" s="9"/>
      <c r="C6" s="9"/>
      <c r="D6" s="9"/>
      <c r="E6" s="9">
        <v>25849</v>
      </c>
      <c r="F6" s="9"/>
      <c r="G6" s="9">
        <v>58032</v>
      </c>
      <c r="H6" s="9"/>
      <c r="I6" s="9">
        <v>748152.33</v>
      </c>
      <c r="J6" s="9"/>
      <c r="K6" s="9"/>
      <c r="L6" s="9">
        <v>2411770</v>
      </c>
      <c r="M6" s="9">
        <v>37849</v>
      </c>
      <c r="N6" s="9"/>
      <c r="O6" s="9"/>
      <c r="P6" s="9"/>
      <c r="Q6" s="9"/>
      <c r="R6" s="9">
        <v>6452</v>
      </c>
      <c r="S6" s="9">
        <v>76116</v>
      </c>
      <c r="T6" s="70">
        <v>1109</v>
      </c>
      <c r="U6" s="9"/>
      <c r="V6" s="9"/>
      <c r="W6" s="9"/>
      <c r="X6" s="9"/>
      <c r="Y6" s="9"/>
      <c r="Z6" s="9"/>
      <c r="AA6" s="9">
        <v>75600</v>
      </c>
      <c r="AB6" s="9"/>
      <c r="AC6" s="9">
        <v>116971</v>
      </c>
      <c r="AD6" s="9"/>
      <c r="AE6" s="10">
        <f t="shared" si="0"/>
        <v>3557900.33</v>
      </c>
    </row>
    <row r="7" spans="1:31" x14ac:dyDescent="0.25">
      <c r="A7" s="2" t="s">
        <v>76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302156</v>
      </c>
      <c r="S7" s="9"/>
      <c r="T7" s="9"/>
      <c r="U7" s="9"/>
      <c r="V7" s="9"/>
      <c r="W7" s="9"/>
      <c r="X7" s="9"/>
      <c r="Y7" s="9"/>
      <c r="Z7" s="9">
        <v>220243</v>
      </c>
      <c r="AA7" s="9"/>
      <c r="AB7" s="9"/>
      <c r="AC7" s="9">
        <v>1791</v>
      </c>
      <c r="AD7" s="9"/>
      <c r="AE7" s="10">
        <f t="shared" si="0"/>
        <v>524190</v>
      </c>
    </row>
    <row r="8" spans="1:31" x14ac:dyDescent="0.25">
      <c r="A8" s="2" t="s">
        <v>77</v>
      </c>
      <c r="B8" s="9"/>
      <c r="C8" s="9"/>
      <c r="D8" s="9"/>
      <c r="E8" s="9"/>
      <c r="F8" s="9">
        <v>5751</v>
      </c>
      <c r="G8" s="9"/>
      <c r="H8" s="9"/>
      <c r="I8" s="9">
        <v>54735.07</v>
      </c>
      <c r="J8" s="9">
        <v>46523</v>
      </c>
      <c r="K8" s="9"/>
      <c r="L8" s="9">
        <v>200338</v>
      </c>
      <c r="M8" s="9"/>
      <c r="N8" s="9">
        <v>3251</v>
      </c>
      <c r="O8" s="9"/>
      <c r="P8" s="9">
        <v>9890</v>
      </c>
      <c r="Q8" s="9">
        <v>48049</v>
      </c>
      <c r="R8" s="9"/>
      <c r="S8" s="9"/>
      <c r="T8" s="70">
        <v>70405</v>
      </c>
      <c r="U8" s="9">
        <v>1</v>
      </c>
      <c r="V8" s="9">
        <v>28537</v>
      </c>
      <c r="W8" s="9">
        <v>14283.6</v>
      </c>
      <c r="X8" s="9"/>
      <c r="Y8" s="9">
        <v>85079</v>
      </c>
      <c r="Z8" s="9">
        <v>19616</v>
      </c>
      <c r="AA8" s="9"/>
      <c r="AB8" s="9">
        <v>55456</v>
      </c>
      <c r="AC8" s="9">
        <v>55600</v>
      </c>
      <c r="AD8" s="9">
        <v>15870</v>
      </c>
      <c r="AE8" s="10">
        <f t="shared" si="0"/>
        <v>713384.66999999993</v>
      </c>
    </row>
    <row r="9" spans="1:31" x14ac:dyDescent="0.25">
      <c r="A9" s="2" t="s">
        <v>78</v>
      </c>
      <c r="B9" s="9"/>
      <c r="C9" s="9">
        <v>284569</v>
      </c>
      <c r="D9" s="9"/>
      <c r="E9" s="9"/>
      <c r="F9" s="9"/>
      <c r="G9" s="9">
        <v>333463</v>
      </c>
      <c r="H9" s="9"/>
      <c r="I9" s="9">
        <v>306019.03000000003</v>
      </c>
      <c r="J9" s="9"/>
      <c r="K9" s="9"/>
      <c r="L9" s="9">
        <v>124310</v>
      </c>
      <c r="M9" s="9">
        <v>10843</v>
      </c>
      <c r="N9" s="9"/>
      <c r="O9" s="9"/>
      <c r="P9" s="9"/>
      <c r="Q9" s="9"/>
      <c r="R9" s="9">
        <v>730053</v>
      </c>
      <c r="S9" s="9">
        <v>947243</v>
      </c>
      <c r="T9" s="70">
        <v>605956</v>
      </c>
      <c r="U9" s="9"/>
      <c r="V9" s="9"/>
      <c r="W9" s="9"/>
      <c r="X9" s="9"/>
      <c r="Y9" s="9"/>
      <c r="Z9" s="9">
        <v>154251</v>
      </c>
      <c r="AA9" s="9"/>
      <c r="AB9" s="9">
        <v>492525</v>
      </c>
      <c r="AC9" s="9">
        <v>366509</v>
      </c>
      <c r="AD9" s="9"/>
      <c r="AE9" s="10">
        <f t="shared" si="0"/>
        <v>4355741.03</v>
      </c>
    </row>
    <row r="10" spans="1:31" x14ac:dyDescent="0.25">
      <c r="A10" s="2" t="s">
        <v>79</v>
      </c>
      <c r="B10" s="9">
        <v>2618</v>
      </c>
      <c r="C10" s="9">
        <v>4710</v>
      </c>
      <c r="D10" s="9">
        <v>21806</v>
      </c>
      <c r="E10" s="9">
        <v>132071</v>
      </c>
      <c r="F10" s="9">
        <v>1875</v>
      </c>
      <c r="G10" s="9">
        <v>7295</v>
      </c>
      <c r="H10" s="9"/>
      <c r="I10" s="9">
        <v>27114.799999999999</v>
      </c>
      <c r="J10" s="9">
        <v>8516</v>
      </c>
      <c r="K10" s="9">
        <v>13822</v>
      </c>
      <c r="L10" s="9"/>
      <c r="M10" s="9">
        <v>74772</v>
      </c>
      <c r="N10" s="9">
        <v>33</v>
      </c>
      <c r="O10" s="9">
        <v>1709</v>
      </c>
      <c r="P10" s="9">
        <v>216</v>
      </c>
      <c r="Q10" s="9">
        <v>4588</v>
      </c>
      <c r="R10" s="9">
        <v>110686</v>
      </c>
      <c r="S10" s="9">
        <v>206267</v>
      </c>
      <c r="T10" s="70">
        <v>75951</v>
      </c>
      <c r="U10" s="9">
        <v>857</v>
      </c>
      <c r="V10" s="9">
        <v>15917</v>
      </c>
      <c r="W10" s="9">
        <v>1097.3</v>
      </c>
      <c r="X10" s="9">
        <v>12010</v>
      </c>
      <c r="Y10" s="9">
        <v>7930</v>
      </c>
      <c r="Z10" s="9">
        <v>23830</v>
      </c>
      <c r="AA10" s="9">
        <v>161820</v>
      </c>
      <c r="AB10" s="9">
        <v>8925</v>
      </c>
      <c r="AC10" s="9">
        <v>79031</v>
      </c>
      <c r="AD10" s="9">
        <v>30135</v>
      </c>
      <c r="AE10" s="10">
        <f t="shared" si="0"/>
        <v>1035602.1000000001</v>
      </c>
    </row>
    <row r="11" spans="1:31" x14ac:dyDescent="0.25">
      <c r="A11" s="2" t="s">
        <v>80</v>
      </c>
      <c r="B11" s="9">
        <v>13325</v>
      </c>
      <c r="C11" s="9">
        <v>28536</v>
      </c>
      <c r="D11" s="9">
        <v>73856</v>
      </c>
      <c r="E11" s="9">
        <v>301255</v>
      </c>
      <c r="F11" s="9">
        <v>38758</v>
      </c>
      <c r="G11" s="9">
        <v>111982</v>
      </c>
      <c r="H11" s="9">
        <v>7403</v>
      </c>
      <c r="I11" s="9">
        <v>13065.11</v>
      </c>
      <c r="J11" s="9">
        <v>37672</v>
      </c>
      <c r="K11" s="9">
        <v>52441</v>
      </c>
      <c r="L11" s="9">
        <v>62100</v>
      </c>
      <c r="M11" s="9">
        <v>88058</v>
      </c>
      <c r="N11" s="9">
        <v>38533</v>
      </c>
      <c r="O11" s="9">
        <v>56902</v>
      </c>
      <c r="P11" s="9">
        <v>8144</v>
      </c>
      <c r="Q11" s="9">
        <f>57371+16459</f>
        <v>73830</v>
      </c>
      <c r="R11" s="9">
        <v>564098</v>
      </c>
      <c r="S11" s="9">
        <v>816220</v>
      </c>
      <c r="T11" s="70">
        <v>423024</v>
      </c>
      <c r="U11" s="9">
        <v>5469</v>
      </c>
      <c r="V11" s="9">
        <v>50388</v>
      </c>
      <c r="W11" s="9">
        <v>63986.8</v>
      </c>
      <c r="X11" s="9">
        <f>42282+10339</f>
        <v>52621</v>
      </c>
      <c r="Y11" s="9">
        <v>55883</v>
      </c>
      <c r="Z11" s="9">
        <v>35126</v>
      </c>
      <c r="AA11" s="9">
        <v>185998</v>
      </c>
      <c r="AB11" s="9">
        <v>168323</v>
      </c>
      <c r="AC11" s="9">
        <v>146411</v>
      </c>
      <c r="AD11" s="9">
        <v>154400</v>
      </c>
      <c r="AE11" s="10">
        <f t="shared" si="0"/>
        <v>3727807.9099999997</v>
      </c>
    </row>
    <row r="12" spans="1:31" x14ac:dyDescent="0.25">
      <c r="A12" s="2" t="s">
        <v>81</v>
      </c>
      <c r="B12" s="9">
        <v>2980</v>
      </c>
      <c r="C12" s="9">
        <v>15170</v>
      </c>
      <c r="D12" s="9">
        <v>12950</v>
      </c>
      <c r="E12" s="9">
        <v>19878</v>
      </c>
      <c r="F12" s="9">
        <v>1468</v>
      </c>
      <c r="G12" s="9">
        <v>15803</v>
      </c>
      <c r="H12" s="9"/>
      <c r="I12" s="9">
        <v>5162.3</v>
      </c>
      <c r="J12" s="9">
        <v>4479</v>
      </c>
      <c r="K12" s="9">
        <v>3117</v>
      </c>
      <c r="L12" s="9">
        <v>17565</v>
      </c>
      <c r="M12" s="9">
        <v>3429</v>
      </c>
      <c r="N12" s="9">
        <v>10703</v>
      </c>
      <c r="O12" s="9">
        <v>1217</v>
      </c>
      <c r="P12" s="9">
        <v>6352</v>
      </c>
      <c r="Q12" s="9"/>
      <c r="R12" s="9">
        <v>408403</v>
      </c>
      <c r="S12" s="9">
        <v>820190</v>
      </c>
      <c r="T12" s="70">
        <v>483818</v>
      </c>
      <c r="U12" s="9">
        <v>1670</v>
      </c>
      <c r="V12" s="9"/>
      <c r="W12" s="9">
        <v>2039.1</v>
      </c>
      <c r="X12" s="9">
        <v>1588</v>
      </c>
      <c r="Y12" s="9">
        <v>1950</v>
      </c>
      <c r="Z12" s="9">
        <v>631</v>
      </c>
      <c r="AA12" s="9">
        <v>7449</v>
      </c>
      <c r="AB12" s="9">
        <v>7565</v>
      </c>
      <c r="AC12" s="9">
        <v>369727</v>
      </c>
      <c r="AD12" s="9">
        <v>3674</v>
      </c>
      <c r="AE12" s="10">
        <f t="shared" si="0"/>
        <v>2228977.4000000004</v>
      </c>
    </row>
    <row r="13" spans="1:31" x14ac:dyDescent="0.25">
      <c r="A13" s="2" t="s">
        <v>82</v>
      </c>
      <c r="B13" s="9">
        <v>9928</v>
      </c>
      <c r="C13" s="9">
        <v>2204</v>
      </c>
      <c r="D13" s="9">
        <v>13207</v>
      </c>
      <c r="E13" s="9">
        <v>47635</v>
      </c>
      <c r="F13" s="9">
        <v>6022</v>
      </c>
      <c r="G13" s="9">
        <v>2876</v>
      </c>
      <c r="H13" s="9">
        <v>352</v>
      </c>
      <c r="I13" s="9">
        <v>19282.97</v>
      </c>
      <c r="J13" s="9">
        <v>15840</v>
      </c>
      <c r="K13" s="9">
        <v>2517</v>
      </c>
      <c r="L13" s="9">
        <v>159033</v>
      </c>
      <c r="M13" s="9">
        <v>14655</v>
      </c>
      <c r="N13" s="9">
        <v>489</v>
      </c>
      <c r="O13" s="9">
        <v>17128</v>
      </c>
      <c r="P13" s="9">
        <v>689</v>
      </c>
      <c r="Q13" s="9">
        <v>19613</v>
      </c>
      <c r="R13" s="9">
        <v>20030</v>
      </c>
      <c r="S13" s="9">
        <v>18444</v>
      </c>
      <c r="T13" s="70">
        <v>16857</v>
      </c>
      <c r="U13" s="9">
        <v>184</v>
      </c>
      <c r="V13" s="9">
        <v>38657</v>
      </c>
      <c r="W13" s="9">
        <v>13932.3</v>
      </c>
      <c r="X13" s="9">
        <v>29216</v>
      </c>
      <c r="Y13" s="9">
        <v>12507</v>
      </c>
      <c r="Z13" s="9">
        <v>22614</v>
      </c>
      <c r="AA13" s="9">
        <v>77453</v>
      </c>
      <c r="AB13" s="9">
        <v>26340</v>
      </c>
      <c r="AC13" s="9">
        <v>18821</v>
      </c>
      <c r="AD13" s="9">
        <v>11039</v>
      </c>
      <c r="AE13" s="10">
        <f t="shared" si="0"/>
        <v>637565.27</v>
      </c>
    </row>
    <row r="14" spans="1:31" x14ac:dyDescent="0.25">
      <c r="A14" s="2" t="s">
        <v>83</v>
      </c>
      <c r="B14" s="9"/>
      <c r="C14" s="9">
        <v>3034</v>
      </c>
      <c r="D14" s="9"/>
      <c r="E14" s="9"/>
      <c r="F14" s="9"/>
      <c r="G14" s="9">
        <v>13983</v>
      </c>
      <c r="H14" s="9"/>
      <c r="I14" s="9"/>
      <c r="J14" s="9"/>
      <c r="K14" s="9"/>
      <c r="L14" s="9"/>
      <c r="M14" s="9"/>
      <c r="N14" s="9"/>
      <c r="O14" s="9"/>
      <c r="P14" s="9">
        <v>1555</v>
      </c>
      <c r="Q14" s="9"/>
      <c r="R14" s="9">
        <v>94624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>
        <v>120857</v>
      </c>
      <c r="AD14" s="9"/>
      <c r="AE14" s="10">
        <f t="shared" si="0"/>
        <v>234053</v>
      </c>
    </row>
    <row r="15" spans="1:31" x14ac:dyDescent="0.25">
      <c r="A15" s="2" t="s">
        <v>84</v>
      </c>
      <c r="B15" s="9">
        <f>B16-B14-B13-B12-B11-B10-B9-B8-B7-B6-B5-B4</f>
        <v>70585</v>
      </c>
      <c r="C15" s="9">
        <f t="shared" ref="C15:AD15" si="1">C16-C14-C13-C12-C11-C10-C9-C8-C7-C6-C5-C4</f>
        <v>0</v>
      </c>
      <c r="D15" s="9">
        <f t="shared" si="1"/>
        <v>790</v>
      </c>
      <c r="E15" s="9">
        <f t="shared" si="1"/>
        <v>2391343</v>
      </c>
      <c r="F15" s="9">
        <f t="shared" si="1"/>
        <v>0</v>
      </c>
      <c r="G15" s="9">
        <f t="shared" si="1"/>
        <v>46117</v>
      </c>
      <c r="H15" s="9">
        <f t="shared" si="1"/>
        <v>0</v>
      </c>
      <c r="I15" s="9">
        <f t="shared" si="1"/>
        <v>-1.8644641386345029E-10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9">
        <f t="shared" si="1"/>
        <v>28116</v>
      </c>
      <c r="P15" s="9">
        <f t="shared" si="1"/>
        <v>0</v>
      </c>
      <c r="Q15" s="9">
        <f t="shared" si="1"/>
        <v>0</v>
      </c>
      <c r="R15" s="9">
        <f t="shared" si="1"/>
        <v>310849</v>
      </c>
      <c r="S15" s="9">
        <f t="shared" si="1"/>
        <v>155881</v>
      </c>
      <c r="T15" s="9">
        <f t="shared" si="1"/>
        <v>77608</v>
      </c>
      <c r="U15" s="9">
        <f t="shared" si="1"/>
        <v>0</v>
      </c>
      <c r="V15" s="9">
        <f t="shared" si="1"/>
        <v>71</v>
      </c>
      <c r="W15" s="9">
        <f t="shared" si="1"/>
        <v>5.8207660913467407E-11</v>
      </c>
      <c r="X15" s="9">
        <f t="shared" si="1"/>
        <v>103535</v>
      </c>
      <c r="Y15" s="9">
        <f t="shared" si="1"/>
        <v>0</v>
      </c>
      <c r="Z15" s="9">
        <f t="shared" si="1"/>
        <v>0</v>
      </c>
      <c r="AA15" s="9">
        <f t="shared" si="1"/>
        <v>733</v>
      </c>
      <c r="AB15" s="9">
        <f t="shared" si="1"/>
        <v>30553</v>
      </c>
      <c r="AC15" s="9">
        <f t="shared" si="1"/>
        <v>66282</v>
      </c>
      <c r="AD15" s="9">
        <f t="shared" si="1"/>
        <v>0</v>
      </c>
      <c r="AE15" s="10">
        <f t="shared" si="0"/>
        <v>3282463</v>
      </c>
    </row>
    <row r="16" spans="1:31" s="7" customFormat="1" x14ac:dyDescent="0.25">
      <c r="A16" s="3" t="s">
        <v>51</v>
      </c>
      <c r="B16" s="10">
        <v>253932</v>
      </c>
      <c r="C16" s="10">
        <v>465547</v>
      </c>
      <c r="D16" s="10">
        <v>249191</v>
      </c>
      <c r="E16" s="10">
        <v>2950999</v>
      </c>
      <c r="F16" s="10">
        <v>91540</v>
      </c>
      <c r="G16" s="10">
        <v>691365</v>
      </c>
      <c r="H16" s="10">
        <v>7790</v>
      </c>
      <c r="I16" s="10">
        <v>1176967.1599999999</v>
      </c>
      <c r="J16" s="10">
        <v>156882</v>
      </c>
      <c r="K16" s="10">
        <v>73653</v>
      </c>
      <c r="L16" s="10">
        <v>3715507</v>
      </c>
      <c r="M16" s="10">
        <v>272658</v>
      </c>
      <c r="N16" s="10">
        <v>136129</v>
      </c>
      <c r="O16" s="10">
        <v>229505</v>
      </c>
      <c r="P16" s="10">
        <v>99942</v>
      </c>
      <c r="Q16" s="10">
        <v>323647</v>
      </c>
      <c r="R16" s="10">
        <v>2835419</v>
      </c>
      <c r="S16" s="10">
        <v>3074226</v>
      </c>
      <c r="T16" s="10">
        <v>1961925</v>
      </c>
      <c r="U16" s="10">
        <v>8182</v>
      </c>
      <c r="V16" s="10">
        <v>313349</v>
      </c>
      <c r="W16" s="10">
        <v>430243</v>
      </c>
      <c r="X16" s="10">
        <v>270021</v>
      </c>
      <c r="Y16" s="10">
        <v>367721</v>
      </c>
      <c r="Z16" s="10">
        <v>488390</v>
      </c>
      <c r="AA16" s="10">
        <v>769664</v>
      </c>
      <c r="AB16" s="10">
        <v>1013321</v>
      </c>
      <c r="AC16" s="10">
        <v>1505687</v>
      </c>
      <c r="AD16" s="10">
        <v>246935</v>
      </c>
      <c r="AE16" s="10">
        <f t="shared" si="0"/>
        <v>24180337.16</v>
      </c>
    </row>
    <row r="17" spans="1:31" x14ac:dyDescent="0.25">
      <c r="A17" s="2" t="s">
        <v>85</v>
      </c>
      <c r="B17" s="9">
        <v>32038</v>
      </c>
      <c r="C17" s="9">
        <v>582731</v>
      </c>
      <c r="D17" s="9">
        <v>39789</v>
      </c>
      <c r="E17" s="9">
        <v>14615</v>
      </c>
      <c r="F17" s="9">
        <v>21329</v>
      </c>
      <c r="G17" s="9">
        <v>19</v>
      </c>
      <c r="H17" s="9">
        <v>8826</v>
      </c>
      <c r="I17" s="9">
        <v>1153034.68</v>
      </c>
      <c r="J17" s="9">
        <v>5769</v>
      </c>
      <c r="K17" s="9"/>
      <c r="L17" s="9">
        <v>111147</v>
      </c>
      <c r="M17" s="9">
        <v>28878</v>
      </c>
      <c r="N17" s="9">
        <v>581</v>
      </c>
      <c r="O17" s="9">
        <v>22266</v>
      </c>
      <c r="P17" s="9"/>
      <c r="Q17" s="9">
        <v>4320</v>
      </c>
      <c r="R17" s="9"/>
      <c r="S17" s="9">
        <v>566898</v>
      </c>
      <c r="T17" s="9">
        <v>2336350</v>
      </c>
      <c r="U17" s="9">
        <v>2379</v>
      </c>
      <c r="V17" s="9">
        <v>8389</v>
      </c>
      <c r="W17" s="9">
        <v>26598.5</v>
      </c>
      <c r="X17" s="9">
        <v>15996</v>
      </c>
      <c r="Y17" s="9">
        <v>5693</v>
      </c>
      <c r="Z17" s="9">
        <v>2308</v>
      </c>
      <c r="AA17" s="9">
        <v>68409</v>
      </c>
      <c r="AB17" s="9">
        <v>78774</v>
      </c>
      <c r="AC17" s="9">
        <v>14998</v>
      </c>
      <c r="AD17" s="9">
        <v>30466</v>
      </c>
      <c r="AE17" s="10">
        <f t="shared" si="0"/>
        <v>5182601.18</v>
      </c>
    </row>
    <row r="18" spans="1:31" ht="30" x14ac:dyDescent="0.25">
      <c r="A18" s="2" t="s">
        <v>86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>
        <v>49762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10">
        <f t="shared" si="0"/>
        <v>49762</v>
      </c>
    </row>
    <row r="19" spans="1:31" s="7" customFormat="1" x14ac:dyDescent="0.25">
      <c r="A19" s="3" t="s">
        <v>87</v>
      </c>
      <c r="B19" s="10">
        <f>B16+B17+B18</f>
        <v>285970</v>
      </c>
      <c r="C19" s="10">
        <f t="shared" ref="C19:AD19" si="2">C16+C17+C18</f>
        <v>1048278</v>
      </c>
      <c r="D19" s="10">
        <f t="shared" si="2"/>
        <v>288980</v>
      </c>
      <c r="E19" s="10">
        <f t="shared" si="2"/>
        <v>2965614</v>
      </c>
      <c r="F19" s="10">
        <f t="shared" si="2"/>
        <v>112869</v>
      </c>
      <c r="G19" s="10">
        <f t="shared" si="2"/>
        <v>691384</v>
      </c>
      <c r="H19" s="10">
        <f t="shared" si="2"/>
        <v>16616</v>
      </c>
      <c r="I19" s="10">
        <f t="shared" si="2"/>
        <v>2330001.84</v>
      </c>
      <c r="J19" s="10">
        <f t="shared" si="2"/>
        <v>162651</v>
      </c>
      <c r="K19" s="10">
        <f t="shared" si="2"/>
        <v>73653</v>
      </c>
      <c r="L19" s="10">
        <f t="shared" si="2"/>
        <v>3826654</v>
      </c>
      <c r="M19" s="10">
        <f t="shared" si="2"/>
        <v>301536</v>
      </c>
      <c r="N19" s="10">
        <f t="shared" si="2"/>
        <v>136710</v>
      </c>
      <c r="O19" s="10">
        <f t="shared" si="2"/>
        <v>251771</v>
      </c>
      <c r="P19" s="10">
        <f t="shared" si="2"/>
        <v>149704</v>
      </c>
      <c r="Q19" s="10">
        <f t="shared" si="2"/>
        <v>327967</v>
      </c>
      <c r="R19" s="10">
        <f t="shared" si="2"/>
        <v>2835419</v>
      </c>
      <c r="S19" s="10">
        <f t="shared" si="2"/>
        <v>3641124</v>
      </c>
      <c r="T19" s="10">
        <f t="shared" si="2"/>
        <v>4298275</v>
      </c>
      <c r="U19" s="10">
        <f t="shared" si="2"/>
        <v>10561</v>
      </c>
      <c r="V19" s="10">
        <f t="shared" si="2"/>
        <v>321738</v>
      </c>
      <c r="W19" s="10">
        <f t="shared" si="2"/>
        <v>456841.5</v>
      </c>
      <c r="X19" s="10">
        <f t="shared" si="2"/>
        <v>286017</v>
      </c>
      <c r="Y19" s="10">
        <f t="shared" si="2"/>
        <v>373414</v>
      </c>
      <c r="Z19" s="10">
        <f t="shared" si="2"/>
        <v>490698</v>
      </c>
      <c r="AA19" s="10">
        <f t="shared" si="2"/>
        <v>838073</v>
      </c>
      <c r="AB19" s="10">
        <f t="shared" si="2"/>
        <v>1092095</v>
      </c>
      <c r="AC19" s="10">
        <f t="shared" si="2"/>
        <v>1520685</v>
      </c>
      <c r="AD19" s="10">
        <f t="shared" si="2"/>
        <v>277401</v>
      </c>
      <c r="AE19" s="10">
        <f t="shared" si="0"/>
        <v>29412700.34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5" x14ac:dyDescent="0.25"/>
  <cols>
    <col min="1" max="1" width="40.140625" style="6" customWidth="1"/>
    <col min="2" max="30" width="16" style="6" customWidth="1"/>
    <col min="31" max="31" width="16" style="62" customWidth="1"/>
    <col min="32" max="16384" width="9.140625" style="6"/>
  </cols>
  <sheetData>
    <row r="1" spans="1:31" ht="18.75" x14ac:dyDescent="0.3">
      <c r="A1" s="12" t="s">
        <v>290</v>
      </c>
    </row>
    <row r="2" spans="1:31" x14ac:dyDescent="0.25">
      <c r="A2" s="5" t="s">
        <v>43</v>
      </c>
    </row>
    <row r="3" spans="1:31" x14ac:dyDescent="0.25">
      <c r="A3" s="1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6</v>
      </c>
      <c r="H3" s="85" t="s">
        <v>7</v>
      </c>
      <c r="I3" s="84" t="s">
        <v>8</v>
      </c>
      <c r="J3" s="84" t="s">
        <v>9</v>
      </c>
      <c r="K3" s="85" t="s">
        <v>10</v>
      </c>
      <c r="L3" s="84" t="s">
        <v>11</v>
      </c>
      <c r="M3" s="84" t="s">
        <v>12</v>
      </c>
      <c r="N3" s="84" t="s">
        <v>13</v>
      </c>
      <c r="O3" s="84" t="s">
        <v>14</v>
      </c>
      <c r="P3" s="84" t="s">
        <v>15</v>
      </c>
      <c r="Q3" s="84" t="s">
        <v>16</v>
      </c>
      <c r="R3" s="84" t="s">
        <v>17</v>
      </c>
      <c r="S3" s="84" t="s">
        <v>18</v>
      </c>
      <c r="T3" s="84" t="s">
        <v>19</v>
      </c>
      <c r="U3" s="85" t="s">
        <v>20</v>
      </c>
      <c r="V3" s="85" t="s">
        <v>21</v>
      </c>
      <c r="W3" s="85" t="s">
        <v>22</v>
      </c>
      <c r="X3" s="85" t="s">
        <v>23</v>
      </c>
      <c r="Y3" s="85" t="s">
        <v>24</v>
      </c>
      <c r="Z3" s="85" t="s">
        <v>25</v>
      </c>
      <c r="AA3" s="85" t="s">
        <v>26</v>
      </c>
      <c r="AB3" s="85" t="s">
        <v>27</v>
      </c>
      <c r="AC3" s="85" t="s">
        <v>28</v>
      </c>
      <c r="AD3" s="85" t="s">
        <v>29</v>
      </c>
      <c r="AE3" s="53" t="s">
        <v>30</v>
      </c>
    </row>
    <row r="4" spans="1:31" ht="15" customHeight="1" x14ac:dyDescent="0.25">
      <c r="A4" s="2" t="s">
        <v>88</v>
      </c>
      <c r="B4" s="9">
        <v>35478</v>
      </c>
      <c r="C4" s="9">
        <v>17</v>
      </c>
      <c r="D4" s="9">
        <v>28088</v>
      </c>
      <c r="E4" s="9">
        <v>87857</v>
      </c>
      <c r="F4" s="9"/>
      <c r="G4" s="9">
        <v>125133</v>
      </c>
      <c r="H4" s="9">
        <v>23987</v>
      </c>
      <c r="I4" s="9">
        <v>10788.35</v>
      </c>
      <c r="J4" s="9">
        <v>220259</v>
      </c>
      <c r="K4" s="9">
        <v>25252</v>
      </c>
      <c r="L4" s="9">
        <v>384031</v>
      </c>
      <c r="M4" s="9">
        <v>35235</v>
      </c>
      <c r="N4" s="9">
        <v>7550</v>
      </c>
      <c r="O4" s="9">
        <v>72277</v>
      </c>
      <c r="P4" s="9">
        <v>13433</v>
      </c>
      <c r="Q4" s="9">
        <v>26183</v>
      </c>
      <c r="R4" s="9">
        <v>1493884</v>
      </c>
      <c r="S4" s="9">
        <v>2344384</v>
      </c>
      <c r="T4">
        <v>1341307</v>
      </c>
      <c r="U4" s="9">
        <v>12</v>
      </c>
      <c r="V4" s="9">
        <v>57725</v>
      </c>
      <c r="W4" s="6">
        <v>40227.9</v>
      </c>
      <c r="X4" s="9">
        <v>97424</v>
      </c>
      <c r="Y4" s="9">
        <v>80131</v>
      </c>
      <c r="Z4" s="9">
        <v>69396</v>
      </c>
      <c r="AA4" s="9">
        <v>1038440</v>
      </c>
      <c r="AB4" s="9">
        <v>442385</v>
      </c>
      <c r="AC4" s="9">
        <v>2186319</v>
      </c>
      <c r="AD4" s="9">
        <v>5531</v>
      </c>
      <c r="AE4" s="10">
        <f t="shared" ref="AE4:AE16" si="0">SUM(B4:AD4)</f>
        <v>10292734.25</v>
      </c>
    </row>
    <row r="5" spans="1:31" x14ac:dyDescent="0.25">
      <c r="A5" s="2" t="s">
        <v>89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>
        <f t="shared" si="0"/>
        <v>0</v>
      </c>
    </row>
    <row r="6" spans="1:31" x14ac:dyDescent="0.25">
      <c r="A6" s="2" t="s">
        <v>90</v>
      </c>
      <c r="B6" s="9"/>
      <c r="C6" s="9">
        <v>4280353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0">
        <f t="shared" si="0"/>
        <v>4280353</v>
      </c>
    </row>
    <row r="7" spans="1:31" ht="15" customHeight="1" x14ac:dyDescent="0.25">
      <c r="A7" s="2" t="s">
        <v>91</v>
      </c>
      <c r="B7" s="9">
        <v>500</v>
      </c>
      <c r="C7" s="9"/>
      <c r="D7" s="9">
        <v>1265137</v>
      </c>
      <c r="E7" s="9">
        <v>35093</v>
      </c>
      <c r="F7" s="9"/>
      <c r="G7" s="9"/>
      <c r="H7" s="9">
        <v>83000</v>
      </c>
      <c r="I7" s="9">
        <v>4316300</v>
      </c>
      <c r="J7" s="9"/>
      <c r="K7" s="9">
        <v>21640</v>
      </c>
      <c r="L7" s="9">
        <v>322769</v>
      </c>
      <c r="M7" s="9">
        <v>480000</v>
      </c>
      <c r="N7" s="9"/>
      <c r="O7" s="9">
        <v>73700</v>
      </c>
      <c r="P7" s="9"/>
      <c r="Q7" s="9">
        <v>54000</v>
      </c>
      <c r="R7" s="9">
        <v>6476194</v>
      </c>
      <c r="S7" s="9">
        <v>16301220</v>
      </c>
      <c r="T7">
        <v>16106019</v>
      </c>
      <c r="U7" s="9"/>
      <c r="V7" s="9">
        <v>487204</v>
      </c>
      <c r="W7" s="6">
        <v>15050.1</v>
      </c>
      <c r="X7" s="9"/>
      <c r="Y7" s="9"/>
      <c r="Z7" s="9"/>
      <c r="AA7" s="9">
        <v>456100</v>
      </c>
      <c r="AB7" s="9"/>
      <c r="AC7" s="9">
        <v>6173851</v>
      </c>
      <c r="AD7" s="9"/>
      <c r="AE7" s="10">
        <f t="shared" si="0"/>
        <v>52667777.100000001</v>
      </c>
    </row>
    <row r="8" spans="1:31" x14ac:dyDescent="0.25">
      <c r="A8" s="2" t="s">
        <v>92</v>
      </c>
      <c r="B8" s="9"/>
      <c r="C8" s="9"/>
      <c r="D8" s="9">
        <v>75000</v>
      </c>
      <c r="E8" s="9"/>
      <c r="F8" s="9"/>
      <c r="G8" s="9"/>
      <c r="H8" s="9"/>
      <c r="I8" s="9">
        <v>46500</v>
      </c>
      <c r="J8" s="9">
        <v>1885</v>
      </c>
      <c r="K8" s="9"/>
      <c r="L8" s="9"/>
      <c r="M8" s="9"/>
      <c r="N8" s="9"/>
      <c r="O8" s="9"/>
      <c r="P8" s="9"/>
      <c r="Q8" s="9"/>
      <c r="R8" s="9">
        <v>450000</v>
      </c>
      <c r="S8" s="9">
        <v>46194958</v>
      </c>
      <c r="T8" s="9"/>
      <c r="U8" s="9"/>
      <c r="V8" s="9"/>
      <c r="W8" s="9"/>
      <c r="X8" s="9"/>
      <c r="Y8" s="9"/>
      <c r="Z8" s="9"/>
      <c r="AA8" s="9">
        <v>568800</v>
      </c>
      <c r="AB8" s="9"/>
      <c r="AC8" s="9"/>
      <c r="AD8" s="9"/>
      <c r="AE8" s="10">
        <f t="shared" si="0"/>
        <v>47337143</v>
      </c>
    </row>
    <row r="9" spans="1:31" x14ac:dyDescent="0.25">
      <c r="A9" s="2" t="s">
        <v>93</v>
      </c>
      <c r="B9" s="9">
        <v>327712</v>
      </c>
      <c r="C9" s="9">
        <v>8422139</v>
      </c>
      <c r="D9" s="9">
        <v>217592</v>
      </c>
      <c r="E9" s="9">
        <v>4919874</v>
      </c>
      <c r="F9" s="9"/>
      <c r="G9" s="9">
        <v>271075</v>
      </c>
      <c r="H9" s="9">
        <v>124946</v>
      </c>
      <c r="I9" s="9">
        <v>142464.32000000001</v>
      </c>
      <c r="J9" s="9">
        <v>660420</v>
      </c>
      <c r="K9" s="9">
        <v>84681</v>
      </c>
      <c r="L9" s="9">
        <v>1233553</v>
      </c>
      <c r="M9" s="9">
        <v>777543</v>
      </c>
      <c r="N9" s="9">
        <v>25153</v>
      </c>
      <c r="O9" s="9">
        <v>256282</v>
      </c>
      <c r="P9" s="9">
        <v>125721</v>
      </c>
      <c r="Q9" s="9">
        <v>96327</v>
      </c>
      <c r="R9" s="9">
        <v>7441585</v>
      </c>
      <c r="S9" s="9">
        <v>6924013</v>
      </c>
      <c r="T9">
        <v>6118597</v>
      </c>
      <c r="U9" s="9">
        <v>33556</v>
      </c>
      <c r="V9" s="9">
        <v>442226</v>
      </c>
      <c r="W9" s="6">
        <v>303301.90000000002</v>
      </c>
      <c r="X9" s="9">
        <v>676932</v>
      </c>
      <c r="Y9" s="9">
        <v>260216</v>
      </c>
      <c r="Z9" s="9">
        <v>262197</v>
      </c>
      <c r="AA9" s="9">
        <v>1247716</v>
      </c>
      <c r="AB9" s="9">
        <v>1898971</v>
      </c>
      <c r="AC9" s="9">
        <v>9849529</v>
      </c>
      <c r="AD9" s="9">
        <v>857720</v>
      </c>
      <c r="AE9" s="10">
        <f t="shared" si="0"/>
        <v>54002042.219999999</v>
      </c>
    </row>
    <row r="10" spans="1:31" x14ac:dyDescent="0.25">
      <c r="A10" s="2" t="s">
        <v>94</v>
      </c>
      <c r="B10" s="9"/>
      <c r="C10" s="9"/>
      <c r="D10" s="9"/>
      <c r="E10" s="9">
        <v>520816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>
        <v>28995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10">
        <f t="shared" si="0"/>
        <v>549811</v>
      </c>
    </row>
    <row r="11" spans="1:31" x14ac:dyDescent="0.25">
      <c r="A11" s="2" t="s">
        <v>95</v>
      </c>
      <c r="B11" s="9"/>
      <c r="C11" s="9"/>
      <c r="D11" s="9"/>
      <c r="E11" s="9"/>
      <c r="F11" s="9"/>
      <c r="G11" s="9">
        <v>4101</v>
      </c>
      <c r="H11" s="9"/>
      <c r="I11" s="9">
        <v>100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>
        <v>751413</v>
      </c>
      <c r="W11" s="9"/>
      <c r="X11" s="9"/>
      <c r="Y11" s="9"/>
      <c r="Z11" s="9"/>
      <c r="AA11" s="9"/>
      <c r="AB11" s="9"/>
      <c r="AC11" s="9"/>
      <c r="AD11" s="9"/>
      <c r="AE11" s="10">
        <f t="shared" si="0"/>
        <v>755614</v>
      </c>
    </row>
    <row r="12" spans="1:31" x14ac:dyDescent="0.25">
      <c r="A12" s="2" t="s">
        <v>96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10">
        <f t="shared" si="0"/>
        <v>0</v>
      </c>
    </row>
    <row r="13" spans="1:31" x14ac:dyDescent="0.25">
      <c r="A13" s="2" t="s">
        <v>97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v>503022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10">
        <f t="shared" si="0"/>
        <v>503022</v>
      </c>
    </row>
    <row r="14" spans="1:31" x14ac:dyDescent="0.25">
      <c r="A14" s="2" t="s">
        <v>98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v>7924158</v>
      </c>
      <c r="T14" s="9"/>
      <c r="U14" s="9"/>
      <c r="V14" s="9"/>
      <c r="W14" s="9"/>
      <c r="X14" s="9"/>
      <c r="Y14" s="9"/>
      <c r="Z14" s="9"/>
      <c r="AA14" s="9"/>
      <c r="AB14" s="9"/>
      <c r="AC14" s="9">
        <v>954567</v>
      </c>
      <c r="AD14" s="9"/>
      <c r="AE14" s="10">
        <f t="shared" si="0"/>
        <v>8878725</v>
      </c>
    </row>
    <row r="15" spans="1:31" x14ac:dyDescent="0.25">
      <c r="A15" s="2" t="s">
        <v>41</v>
      </c>
      <c r="B15" s="9">
        <f>B16-B14-B13-B12-B11-B10-B9-B8-B7-B6-B5-B4</f>
        <v>0</v>
      </c>
      <c r="C15" s="9">
        <f t="shared" ref="C15:AD15" si="1">C16-C14-C13-C12-C11-C10-C9-C8-C7-C6-C5-C4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-3.7289282772690058E-10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9">
        <f t="shared" si="1"/>
        <v>0</v>
      </c>
      <c r="P15" s="9">
        <f t="shared" si="1"/>
        <v>0</v>
      </c>
      <c r="Q15" s="9">
        <f t="shared" si="1"/>
        <v>0</v>
      </c>
      <c r="R15" s="9">
        <f t="shared" si="1"/>
        <v>13703</v>
      </c>
      <c r="S15" s="9">
        <f t="shared" si="1"/>
        <v>0</v>
      </c>
      <c r="T15" s="9">
        <f t="shared" si="1"/>
        <v>0</v>
      </c>
      <c r="U15" s="9">
        <f t="shared" si="1"/>
        <v>0</v>
      </c>
      <c r="V15" s="9">
        <f t="shared" si="1"/>
        <v>0</v>
      </c>
      <c r="W15" s="9">
        <f t="shared" si="1"/>
        <v>0</v>
      </c>
      <c r="X15" s="9">
        <f t="shared" si="1"/>
        <v>0</v>
      </c>
      <c r="Y15" s="9">
        <f t="shared" si="1"/>
        <v>0</v>
      </c>
      <c r="Z15" s="9">
        <f t="shared" si="1"/>
        <v>0</v>
      </c>
      <c r="AA15" s="9">
        <f t="shared" si="1"/>
        <v>0</v>
      </c>
      <c r="AB15" s="9">
        <f t="shared" si="1"/>
        <v>0</v>
      </c>
      <c r="AC15" s="9">
        <f t="shared" si="1"/>
        <v>0</v>
      </c>
      <c r="AD15" s="9">
        <f t="shared" si="1"/>
        <v>0</v>
      </c>
      <c r="AE15" s="10">
        <f t="shared" si="0"/>
        <v>13702.999999999627</v>
      </c>
    </row>
    <row r="16" spans="1:31" s="7" customFormat="1" x14ac:dyDescent="0.25">
      <c r="A16" s="3" t="s">
        <v>51</v>
      </c>
      <c r="B16" s="10">
        <v>363690</v>
      </c>
      <c r="C16" s="10">
        <v>12702509</v>
      </c>
      <c r="D16" s="10">
        <v>1585817</v>
      </c>
      <c r="E16" s="10">
        <v>5563640</v>
      </c>
      <c r="F16" s="10"/>
      <c r="G16" s="10">
        <v>400309</v>
      </c>
      <c r="H16" s="10">
        <v>231933</v>
      </c>
      <c r="I16" s="10">
        <v>4516152.67</v>
      </c>
      <c r="J16" s="10">
        <v>882564</v>
      </c>
      <c r="K16" s="10">
        <v>131573</v>
      </c>
      <c r="L16" s="10">
        <v>1940353</v>
      </c>
      <c r="M16" s="10">
        <v>1292778</v>
      </c>
      <c r="N16" s="10">
        <v>32703</v>
      </c>
      <c r="O16" s="10">
        <v>402259</v>
      </c>
      <c r="P16" s="10">
        <v>168149</v>
      </c>
      <c r="Q16" s="10">
        <v>176510</v>
      </c>
      <c r="R16" s="10">
        <v>15875366</v>
      </c>
      <c r="S16" s="10">
        <v>80191755</v>
      </c>
      <c r="T16" s="10">
        <v>23565923</v>
      </c>
      <c r="U16" s="10">
        <v>33568</v>
      </c>
      <c r="V16" s="10">
        <v>1738568</v>
      </c>
      <c r="W16" s="10">
        <v>358579.9</v>
      </c>
      <c r="X16" s="10">
        <v>774356</v>
      </c>
      <c r="Y16" s="10">
        <v>340347</v>
      </c>
      <c r="Z16" s="10">
        <v>331593</v>
      </c>
      <c r="AA16" s="10">
        <v>3311056</v>
      </c>
      <c r="AB16" s="10">
        <v>2341356</v>
      </c>
      <c r="AC16" s="10">
        <v>19164266</v>
      </c>
      <c r="AD16" s="10">
        <v>863251</v>
      </c>
      <c r="AE16" s="10">
        <f t="shared" si="0"/>
        <v>179280924.57000002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6" customWidth="1"/>
    <col min="2" max="30" width="16" style="6" customWidth="1"/>
    <col min="31" max="31" width="16" style="7" customWidth="1"/>
    <col min="32" max="16384" width="9.140625" style="6"/>
  </cols>
  <sheetData>
    <row r="1" spans="1:31" ht="18.75" x14ac:dyDescent="0.3">
      <c r="A1" s="12" t="s">
        <v>291</v>
      </c>
    </row>
    <row r="2" spans="1:31" x14ac:dyDescent="0.25">
      <c r="A2" s="13" t="s">
        <v>43</v>
      </c>
    </row>
    <row r="3" spans="1:31" x14ac:dyDescent="0.25">
      <c r="A3" s="1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6</v>
      </c>
      <c r="H3" s="85" t="s">
        <v>7</v>
      </c>
      <c r="I3" s="84" t="s">
        <v>8</v>
      </c>
      <c r="J3" s="84" t="s">
        <v>9</v>
      </c>
      <c r="K3" s="85" t="s">
        <v>10</v>
      </c>
      <c r="L3" s="84" t="s">
        <v>11</v>
      </c>
      <c r="M3" s="84" t="s">
        <v>12</v>
      </c>
      <c r="N3" s="84" t="s">
        <v>13</v>
      </c>
      <c r="O3" s="84" t="s">
        <v>14</v>
      </c>
      <c r="P3" s="84" t="s">
        <v>15</v>
      </c>
      <c r="Q3" s="84" t="s">
        <v>16</v>
      </c>
      <c r="R3" s="84" t="s">
        <v>17</v>
      </c>
      <c r="S3" s="84" t="s">
        <v>18</v>
      </c>
      <c r="T3" s="84" t="s">
        <v>19</v>
      </c>
      <c r="U3" s="85" t="s">
        <v>20</v>
      </c>
      <c r="V3" s="85" t="s">
        <v>21</v>
      </c>
      <c r="W3" s="85" t="s">
        <v>22</v>
      </c>
      <c r="X3" s="85" t="s">
        <v>23</v>
      </c>
      <c r="Y3" s="85" t="s">
        <v>24</v>
      </c>
      <c r="Z3" s="85" t="s">
        <v>25</v>
      </c>
      <c r="AA3" s="85" t="s">
        <v>26</v>
      </c>
      <c r="AB3" s="85" t="s">
        <v>27</v>
      </c>
      <c r="AC3" s="85" t="s">
        <v>28</v>
      </c>
      <c r="AD3" s="85" t="s">
        <v>29</v>
      </c>
      <c r="AE3" s="53" t="s">
        <v>30</v>
      </c>
    </row>
    <row r="4" spans="1:31" x14ac:dyDescent="0.25">
      <c r="A4" s="2" t="s">
        <v>99</v>
      </c>
      <c r="B4" s="9">
        <v>12086</v>
      </c>
      <c r="C4" s="9"/>
      <c r="D4" s="9">
        <v>148439</v>
      </c>
      <c r="E4" s="9">
        <v>250707</v>
      </c>
      <c r="F4" s="9">
        <v>46607</v>
      </c>
      <c r="G4" s="9">
        <v>77867</v>
      </c>
      <c r="H4" s="9">
        <v>42773</v>
      </c>
      <c r="I4" s="9"/>
      <c r="J4" s="9">
        <v>90612</v>
      </c>
      <c r="K4" s="9">
        <v>6640</v>
      </c>
      <c r="L4" s="9">
        <v>85059</v>
      </c>
      <c r="M4" s="9">
        <v>167249</v>
      </c>
      <c r="N4" s="9">
        <v>7094</v>
      </c>
      <c r="O4" s="9">
        <v>39210</v>
      </c>
      <c r="P4" s="9">
        <v>7671</v>
      </c>
      <c r="Q4" s="9">
        <v>68368</v>
      </c>
      <c r="R4" s="9">
        <v>862601</v>
      </c>
      <c r="S4" s="9">
        <v>241511</v>
      </c>
      <c r="T4" s="70">
        <v>639692</v>
      </c>
      <c r="U4" s="9">
        <v>7806</v>
      </c>
      <c r="V4" s="9">
        <v>87126</v>
      </c>
      <c r="W4" s="9">
        <v>86866.2</v>
      </c>
      <c r="X4" s="9">
        <v>84524</v>
      </c>
      <c r="Y4" s="9">
        <v>114298</v>
      </c>
      <c r="Z4" s="9">
        <v>59195</v>
      </c>
      <c r="AA4" s="9">
        <v>330781</v>
      </c>
      <c r="AB4" s="9">
        <v>206108</v>
      </c>
      <c r="AC4" s="9">
        <v>1405310</v>
      </c>
      <c r="AD4" s="9">
        <v>37901</v>
      </c>
      <c r="AE4" s="10">
        <f t="shared" ref="AE4:AE15" si="0">SUM(B4:AD4)</f>
        <v>5214101.2</v>
      </c>
    </row>
    <row r="5" spans="1:31" ht="15" customHeight="1" x14ac:dyDescent="0.25">
      <c r="A5" s="2" t="s">
        <v>100</v>
      </c>
      <c r="B5" s="9">
        <v>31564</v>
      </c>
      <c r="C5" s="9">
        <v>37445277</v>
      </c>
      <c r="D5" s="9">
        <v>782298</v>
      </c>
      <c r="E5" s="9">
        <v>7988388</v>
      </c>
      <c r="F5" s="9">
        <v>1399714</v>
      </c>
      <c r="G5" s="9">
        <v>2196580</v>
      </c>
      <c r="H5" s="9">
        <v>59052</v>
      </c>
      <c r="I5" s="9">
        <v>575289.11</v>
      </c>
      <c r="J5" s="9">
        <v>2864685</v>
      </c>
      <c r="K5" s="9">
        <v>91787</v>
      </c>
      <c r="L5" s="9">
        <v>8101889</v>
      </c>
      <c r="M5" s="9">
        <v>4469078</v>
      </c>
      <c r="N5" s="9">
        <v>30741</v>
      </c>
      <c r="O5" s="9">
        <v>172133</v>
      </c>
      <c r="P5" s="9">
        <v>225657</v>
      </c>
      <c r="Q5" s="9">
        <v>102654</v>
      </c>
      <c r="R5" s="9">
        <v>18643370</v>
      </c>
      <c r="S5" s="9">
        <v>34446693</v>
      </c>
      <c r="T5" s="70">
        <v>81240</v>
      </c>
      <c r="U5" s="9">
        <v>97765</v>
      </c>
      <c r="V5" s="9">
        <v>5372769</v>
      </c>
      <c r="W5" s="9">
        <v>116886.8</v>
      </c>
      <c r="X5" s="70">
        <v>303888</v>
      </c>
      <c r="Y5" s="9">
        <v>2729439</v>
      </c>
      <c r="Z5" s="9">
        <v>1379643</v>
      </c>
      <c r="AA5" s="9">
        <v>9945</v>
      </c>
      <c r="AB5" s="9">
        <v>2891552</v>
      </c>
      <c r="AC5" s="9">
        <v>22114375</v>
      </c>
      <c r="AD5" s="9">
        <v>4288142</v>
      </c>
      <c r="AE5" s="10">
        <f t="shared" si="0"/>
        <v>159012493.91</v>
      </c>
    </row>
    <row r="6" spans="1:31" ht="15" customHeight="1" x14ac:dyDescent="0.25">
      <c r="A6" s="2" t="s">
        <v>101</v>
      </c>
      <c r="B6" s="9"/>
      <c r="C6" s="9"/>
      <c r="D6" s="9"/>
      <c r="E6" s="9"/>
      <c r="F6" s="9"/>
      <c r="G6" s="9"/>
      <c r="H6" s="9"/>
      <c r="I6" s="9"/>
      <c r="J6" s="9"/>
      <c r="K6" s="9"/>
      <c r="L6" s="9">
        <v>6303568</v>
      </c>
      <c r="M6" s="9"/>
      <c r="N6" s="9"/>
      <c r="O6" s="9"/>
      <c r="P6" s="9"/>
      <c r="Q6" s="9"/>
      <c r="R6" s="9">
        <v>8342106</v>
      </c>
      <c r="S6" s="9">
        <v>161528</v>
      </c>
      <c r="T6" s="70">
        <v>454988</v>
      </c>
      <c r="U6" s="9"/>
      <c r="V6" s="9"/>
      <c r="W6" s="9"/>
      <c r="X6" s="9"/>
      <c r="Y6" s="9"/>
      <c r="Z6" s="9"/>
      <c r="AA6" s="9"/>
      <c r="AB6" s="9"/>
      <c r="AC6" s="9">
        <v>19154</v>
      </c>
      <c r="AD6" s="9"/>
      <c r="AE6" s="10">
        <f t="shared" si="0"/>
        <v>15281344</v>
      </c>
    </row>
    <row r="7" spans="1:31" ht="15" customHeight="1" x14ac:dyDescent="0.25">
      <c r="A7" s="2" t="s">
        <v>102</v>
      </c>
      <c r="B7" s="9"/>
      <c r="C7" s="9"/>
      <c r="D7" s="9">
        <v>122521</v>
      </c>
      <c r="E7" s="9">
        <v>3411572</v>
      </c>
      <c r="F7" s="9">
        <v>94557</v>
      </c>
      <c r="G7" s="9">
        <v>1226216</v>
      </c>
      <c r="H7" s="9">
        <v>11258</v>
      </c>
      <c r="I7" s="9">
        <v>671922.98</v>
      </c>
      <c r="J7" s="9">
        <v>148056</v>
      </c>
      <c r="K7" s="9">
        <v>23941</v>
      </c>
      <c r="L7" s="9">
        <v>882918</v>
      </c>
      <c r="M7" s="9">
        <v>310096</v>
      </c>
      <c r="N7" s="9">
        <v>14195</v>
      </c>
      <c r="O7" s="9">
        <v>38587</v>
      </c>
      <c r="P7" s="9">
        <v>79527</v>
      </c>
      <c r="Q7" s="9">
        <v>37375</v>
      </c>
      <c r="R7" s="9">
        <v>1374436</v>
      </c>
      <c r="S7" s="9">
        <v>1702021</v>
      </c>
      <c r="T7" s="70">
        <v>929930</v>
      </c>
      <c r="U7" s="9">
        <v>4</v>
      </c>
      <c r="V7" s="9">
        <v>159260</v>
      </c>
      <c r="W7" s="9">
        <v>197101.9</v>
      </c>
      <c r="X7" s="70">
        <v>270709</v>
      </c>
      <c r="Y7" s="9">
        <v>82989</v>
      </c>
      <c r="Z7" s="9">
        <v>339178</v>
      </c>
      <c r="AA7" s="9">
        <v>173682</v>
      </c>
      <c r="AB7" s="9">
        <v>2137138</v>
      </c>
      <c r="AC7" s="9">
        <v>1575341</v>
      </c>
      <c r="AD7" s="9">
        <v>92241</v>
      </c>
      <c r="AE7" s="10">
        <f t="shared" si="0"/>
        <v>16106772.880000001</v>
      </c>
    </row>
    <row r="8" spans="1:31" ht="15" customHeight="1" x14ac:dyDescent="0.25">
      <c r="A8" s="2" t="s">
        <v>103</v>
      </c>
      <c r="B8" s="9">
        <v>674286</v>
      </c>
      <c r="C8" s="9"/>
      <c r="D8" s="9">
        <v>315374</v>
      </c>
      <c r="E8" s="9">
        <v>1848611</v>
      </c>
      <c r="F8" s="9">
        <v>211079</v>
      </c>
      <c r="G8" s="9">
        <v>1284302</v>
      </c>
      <c r="H8" s="9">
        <v>73943</v>
      </c>
      <c r="I8" s="9">
        <v>1942056.31</v>
      </c>
      <c r="J8" s="9">
        <v>866968</v>
      </c>
      <c r="K8" s="9">
        <v>84076</v>
      </c>
      <c r="L8" s="9">
        <v>7269087</v>
      </c>
      <c r="M8" s="9"/>
      <c r="N8" s="9"/>
      <c r="O8" s="9">
        <v>145609</v>
      </c>
      <c r="P8" s="9">
        <v>72562</v>
      </c>
      <c r="Q8" s="9">
        <v>86160</v>
      </c>
      <c r="R8" s="9">
        <v>5393244</v>
      </c>
      <c r="S8" s="9">
        <v>0</v>
      </c>
      <c r="T8" s="9"/>
      <c r="U8" s="9">
        <v>5208</v>
      </c>
      <c r="V8" s="9">
        <v>2793387</v>
      </c>
      <c r="W8" s="9">
        <v>379527.8</v>
      </c>
      <c r="X8" s="70">
        <v>589094</v>
      </c>
      <c r="Y8" s="9">
        <v>1095510</v>
      </c>
      <c r="Z8" s="9">
        <v>26296</v>
      </c>
      <c r="AA8" s="9">
        <v>88995</v>
      </c>
      <c r="AB8" s="9">
        <v>1574880</v>
      </c>
      <c r="AC8" s="9"/>
      <c r="AD8" s="9">
        <v>1186917</v>
      </c>
      <c r="AE8" s="10">
        <f t="shared" si="0"/>
        <v>28007172.110000003</v>
      </c>
    </row>
    <row r="9" spans="1:31" ht="15" customHeight="1" x14ac:dyDescent="0.25">
      <c r="A9" s="2" t="s">
        <v>104</v>
      </c>
      <c r="B9" s="9">
        <v>406433</v>
      </c>
      <c r="C9" s="9">
        <v>1561764</v>
      </c>
      <c r="D9" s="9">
        <v>220267</v>
      </c>
      <c r="E9" s="9">
        <v>2515836</v>
      </c>
      <c r="F9" s="9">
        <v>298913</v>
      </c>
      <c r="G9" s="9">
        <v>371072</v>
      </c>
      <c r="H9" s="9">
        <v>162000</v>
      </c>
      <c r="I9" s="9">
        <v>214990.74</v>
      </c>
      <c r="J9" s="9">
        <v>760399</v>
      </c>
      <c r="K9" s="9">
        <v>354337</v>
      </c>
      <c r="L9" s="9">
        <v>2958050</v>
      </c>
      <c r="M9" s="9">
        <v>879301</v>
      </c>
      <c r="N9" s="9">
        <v>3671</v>
      </c>
      <c r="O9" s="9">
        <v>328374</v>
      </c>
      <c r="P9" s="9">
        <v>138078</v>
      </c>
      <c r="Q9" s="9">
        <v>1164347</v>
      </c>
      <c r="R9" s="9">
        <v>22394774</v>
      </c>
      <c r="S9" s="9">
        <v>18700475</v>
      </c>
      <c r="T9" s="70">
        <v>16425615</v>
      </c>
      <c r="U9" s="9">
        <v>29688</v>
      </c>
      <c r="V9" s="9">
        <v>1526849</v>
      </c>
      <c r="W9" s="9">
        <v>858525.8</v>
      </c>
      <c r="X9" s="70">
        <v>921758</v>
      </c>
      <c r="Y9" s="9">
        <v>882443</v>
      </c>
      <c r="Z9" s="9">
        <v>100926</v>
      </c>
      <c r="AA9" s="9">
        <v>485770</v>
      </c>
      <c r="AB9" s="9">
        <v>1424248</v>
      </c>
      <c r="AC9" s="9">
        <v>21896189</v>
      </c>
      <c r="AD9" s="9">
        <v>455400</v>
      </c>
      <c r="AE9" s="10">
        <f t="shared" si="0"/>
        <v>98440493.540000007</v>
      </c>
    </row>
    <row r="10" spans="1:31" ht="15" customHeight="1" x14ac:dyDescent="0.25">
      <c r="A10" s="2" t="s">
        <v>105</v>
      </c>
      <c r="B10" s="9">
        <v>8038</v>
      </c>
      <c r="C10" s="9"/>
      <c r="D10" s="9"/>
      <c r="E10" s="9"/>
      <c r="F10" s="9"/>
      <c r="G10" s="9"/>
      <c r="H10" s="9"/>
      <c r="I10" s="9"/>
      <c r="J10" s="9"/>
      <c r="K10" s="9"/>
      <c r="L10" s="9">
        <v>53968</v>
      </c>
      <c r="M10" s="9">
        <v>18858</v>
      </c>
      <c r="N10" s="9">
        <v>4269</v>
      </c>
      <c r="O10" s="9"/>
      <c r="P10" s="9"/>
      <c r="Q10" s="9"/>
      <c r="R10" s="9"/>
      <c r="S10" s="9">
        <v>0</v>
      </c>
      <c r="T10" s="9"/>
      <c r="U10" s="9"/>
      <c r="V10" s="9"/>
      <c r="W10" s="9">
        <v>8384.2999999999993</v>
      </c>
      <c r="X10" s="9"/>
      <c r="Y10" s="9">
        <v>125010</v>
      </c>
      <c r="Z10" s="9"/>
      <c r="AA10" s="9"/>
      <c r="AB10" s="9"/>
      <c r="AC10" s="9"/>
      <c r="AD10" s="9"/>
      <c r="AE10" s="10">
        <f t="shared" si="0"/>
        <v>218527.3</v>
      </c>
    </row>
    <row r="11" spans="1:31" ht="15" customHeight="1" x14ac:dyDescent="0.25">
      <c r="A11" s="2" t="s">
        <v>106</v>
      </c>
      <c r="B11" s="9">
        <v>71315</v>
      </c>
      <c r="C11" s="9">
        <v>33633406</v>
      </c>
      <c r="D11" s="9">
        <v>986892</v>
      </c>
      <c r="E11" s="9">
        <v>45837740</v>
      </c>
      <c r="F11" s="9">
        <v>15426820</v>
      </c>
      <c r="G11" s="9">
        <f>23338685+2211609</f>
        <v>25550294</v>
      </c>
      <c r="H11" s="9">
        <v>312142</v>
      </c>
      <c r="I11" s="9">
        <v>48791442.909999996</v>
      </c>
      <c r="J11" s="9">
        <v>13027151</v>
      </c>
      <c r="K11" s="9">
        <v>3762219</v>
      </c>
      <c r="L11" s="9">
        <v>118050618</v>
      </c>
      <c r="M11" s="9">
        <v>33559216</v>
      </c>
      <c r="N11" s="9">
        <v>177982</v>
      </c>
      <c r="O11" s="9">
        <v>2972662</v>
      </c>
      <c r="P11" s="9">
        <v>5579454</v>
      </c>
      <c r="Q11" s="9">
        <v>531206</v>
      </c>
      <c r="R11" s="9">
        <v>104261017</v>
      </c>
      <c r="S11" s="9">
        <v>179120779</v>
      </c>
      <c r="T11" s="70">
        <v>99929276</v>
      </c>
      <c r="U11" s="83">
        <v>395454</v>
      </c>
      <c r="V11" s="9">
        <v>39712715</v>
      </c>
      <c r="W11" s="9">
        <v>963038.2</v>
      </c>
      <c r="X11" s="70">
        <v>16892633</v>
      </c>
      <c r="Y11" s="9">
        <v>14588683</v>
      </c>
      <c r="Z11" s="9">
        <v>48421996</v>
      </c>
      <c r="AA11" s="9">
        <v>1560951</v>
      </c>
      <c r="AB11" s="9">
        <v>19524163</v>
      </c>
      <c r="AC11" s="9">
        <v>120536655</v>
      </c>
      <c r="AD11" s="9">
        <v>11155657</v>
      </c>
      <c r="AE11" s="10">
        <f t="shared" si="0"/>
        <v>1005333577.11</v>
      </c>
    </row>
    <row r="12" spans="1:31" ht="15" customHeight="1" x14ac:dyDescent="0.25">
      <c r="A12" s="2" t="s">
        <v>107</v>
      </c>
      <c r="B12" s="9"/>
      <c r="C12" s="9"/>
      <c r="D12" s="9"/>
      <c r="E12" s="9"/>
      <c r="F12" s="9"/>
      <c r="G12" s="9"/>
      <c r="H12" s="9"/>
      <c r="I12" s="9">
        <v>52530.64</v>
      </c>
      <c r="J12" s="9"/>
      <c r="K12" s="9"/>
      <c r="L12" s="9"/>
      <c r="M12" s="9"/>
      <c r="N12" s="9"/>
      <c r="O12" s="9"/>
      <c r="P12" s="9"/>
      <c r="Q12" s="9">
        <v>25992</v>
      </c>
      <c r="R12" s="9"/>
      <c r="S12" s="9"/>
      <c r="T12" s="9"/>
      <c r="U12" s="9"/>
      <c r="V12" s="9"/>
      <c r="W12" s="9"/>
      <c r="X12" s="9">
        <v>7000</v>
      </c>
      <c r="Y12" s="9"/>
      <c r="Z12" s="9"/>
      <c r="AA12" s="9"/>
      <c r="AB12" s="9">
        <v>5400</v>
      </c>
      <c r="AC12" s="9"/>
      <c r="AD12" s="9"/>
      <c r="AE12" s="10">
        <f t="shared" si="0"/>
        <v>90922.64</v>
      </c>
    </row>
    <row r="13" spans="1:31" ht="15" customHeight="1" x14ac:dyDescent="0.25">
      <c r="A13" s="2" t="s">
        <v>108</v>
      </c>
      <c r="B13" s="9"/>
      <c r="C13" s="9">
        <v>388703</v>
      </c>
      <c r="D13" s="9">
        <v>24102</v>
      </c>
      <c r="E13" s="9">
        <v>99549</v>
      </c>
      <c r="F13" s="9">
        <v>244711</v>
      </c>
      <c r="G13" s="9"/>
      <c r="H13" s="9">
        <v>8007</v>
      </c>
      <c r="I13" s="9">
        <v>16971.57</v>
      </c>
      <c r="J13" s="9">
        <v>51253</v>
      </c>
      <c r="K13" s="9">
        <v>32889</v>
      </c>
      <c r="L13" s="9"/>
      <c r="M13" s="9">
        <v>424215</v>
      </c>
      <c r="N13" s="9">
        <v>248</v>
      </c>
      <c r="O13" s="9">
        <v>3618</v>
      </c>
      <c r="P13" s="9">
        <v>12074</v>
      </c>
      <c r="Q13" s="9">
        <v>17717</v>
      </c>
      <c r="R13" s="9">
        <v>851300</v>
      </c>
      <c r="S13" s="9">
        <v>1387541</v>
      </c>
      <c r="T13" s="9"/>
      <c r="U13" s="9">
        <v>316</v>
      </c>
      <c r="V13" s="9">
        <v>720853</v>
      </c>
      <c r="W13" s="9">
        <v>7167.2</v>
      </c>
      <c r="X13" s="70">
        <v>151231</v>
      </c>
      <c r="Y13" s="9">
        <v>25921</v>
      </c>
      <c r="Z13" s="9">
        <v>194451</v>
      </c>
      <c r="AA13" s="9">
        <v>12952</v>
      </c>
      <c r="AB13" s="9">
        <v>268917</v>
      </c>
      <c r="AC13" s="9">
        <v>1622008</v>
      </c>
      <c r="AD13" s="9">
        <v>28350</v>
      </c>
      <c r="AE13" s="10">
        <f t="shared" si="0"/>
        <v>6595064.7700000005</v>
      </c>
    </row>
    <row r="14" spans="1:31" x14ac:dyDescent="0.25">
      <c r="A14" s="2" t="s">
        <v>41</v>
      </c>
      <c r="B14" s="9">
        <f>B15-B13-B12-B11-B10-B9-B8-B7-B6-B5-B4</f>
        <v>18612</v>
      </c>
      <c r="C14" s="9">
        <f t="shared" ref="C14:AD14" si="1">C15-C13-C12-C11-C10-C9-C8-C7-C6-C5-C4</f>
        <v>5277598</v>
      </c>
      <c r="D14" s="9">
        <f t="shared" si="1"/>
        <v>567133</v>
      </c>
      <c r="E14" s="9">
        <f t="shared" si="1"/>
        <v>373441</v>
      </c>
      <c r="F14" s="9">
        <f t="shared" si="1"/>
        <v>2105323</v>
      </c>
      <c r="G14" s="9">
        <f t="shared" si="1"/>
        <v>527378</v>
      </c>
      <c r="H14" s="9">
        <f t="shared" si="1"/>
        <v>229997</v>
      </c>
      <c r="I14" s="9">
        <f t="shared" si="1"/>
        <v>125448.21999999916</v>
      </c>
      <c r="J14" s="9">
        <f t="shared" si="1"/>
        <v>378988</v>
      </c>
      <c r="K14" s="9">
        <f>K15-K13-K12-K11-K10-K9-K8-K7-K6-K5-K4</f>
        <v>11930</v>
      </c>
      <c r="L14" s="9">
        <f>L15-L13-L12-L11-L10-L9-L8-L7-L6-L5-L4</f>
        <v>5430608</v>
      </c>
      <c r="M14" s="9">
        <f t="shared" si="1"/>
        <v>653816</v>
      </c>
      <c r="N14" s="9">
        <f t="shared" si="1"/>
        <v>115186</v>
      </c>
      <c r="O14" s="9">
        <f t="shared" si="1"/>
        <v>40869</v>
      </c>
      <c r="P14" s="9">
        <f t="shared" si="1"/>
        <v>354251</v>
      </c>
      <c r="Q14" s="9">
        <f t="shared" si="1"/>
        <v>37830</v>
      </c>
      <c r="R14" s="9">
        <f t="shared" si="1"/>
        <v>-328163</v>
      </c>
      <c r="S14" s="9">
        <f t="shared" si="1"/>
        <v>1574659</v>
      </c>
      <c r="T14" s="9">
        <f t="shared" si="1"/>
        <v>1630439</v>
      </c>
      <c r="U14" s="9">
        <f>U15-U13-U12-U11-U10-U9-U8-U7-U6-U5-U4</f>
        <v>9774</v>
      </c>
      <c r="V14" s="9">
        <f>V15-V13-V12-V11-V10-V9-V8-V7-V6-V5-V4</f>
        <v>811429</v>
      </c>
      <c r="W14" s="9">
        <f t="shared" si="1"/>
        <v>62327.299999999828</v>
      </c>
      <c r="X14" s="9">
        <f t="shared" si="1"/>
        <v>199804</v>
      </c>
      <c r="Y14" s="9">
        <f t="shared" si="1"/>
        <v>112414</v>
      </c>
      <c r="Z14" s="9">
        <f t="shared" si="1"/>
        <v>335178</v>
      </c>
      <c r="AA14" s="9">
        <f t="shared" si="1"/>
        <v>118547</v>
      </c>
      <c r="AB14" s="9">
        <f t="shared" si="1"/>
        <v>202886</v>
      </c>
      <c r="AC14" s="9">
        <f t="shared" si="1"/>
        <v>1330</v>
      </c>
      <c r="AD14" s="9">
        <f t="shared" si="1"/>
        <v>23400</v>
      </c>
      <c r="AE14" s="10">
        <f t="shared" si="0"/>
        <v>21002432.52</v>
      </c>
    </row>
    <row r="15" spans="1:31" s="7" customFormat="1" x14ac:dyDescent="0.25">
      <c r="A15" s="3" t="s">
        <v>51</v>
      </c>
      <c r="B15" s="10">
        <v>1222334</v>
      </c>
      <c r="C15" s="10">
        <v>78306748</v>
      </c>
      <c r="D15" s="10">
        <v>3167026</v>
      </c>
      <c r="E15" s="10">
        <v>62325844</v>
      </c>
      <c r="F15" s="10">
        <v>19827724</v>
      </c>
      <c r="G15" s="10">
        <v>31233709</v>
      </c>
      <c r="H15" s="10">
        <v>899172</v>
      </c>
      <c r="I15" s="10">
        <v>52390652.479999997</v>
      </c>
      <c r="J15" s="10">
        <v>18188112</v>
      </c>
      <c r="K15" s="10">
        <v>4367819</v>
      </c>
      <c r="L15" s="10">
        <v>149135765</v>
      </c>
      <c r="M15" s="10">
        <v>40481829</v>
      </c>
      <c r="N15" s="10">
        <v>353386</v>
      </c>
      <c r="O15" s="10">
        <v>3741062</v>
      </c>
      <c r="P15" s="10">
        <v>6469274</v>
      </c>
      <c r="Q15" s="10">
        <v>2071649</v>
      </c>
      <c r="R15" s="10">
        <v>161794685</v>
      </c>
      <c r="S15" s="10">
        <v>237335207</v>
      </c>
      <c r="T15" s="10">
        <v>120091180</v>
      </c>
      <c r="U15" s="10">
        <v>546015</v>
      </c>
      <c r="V15" s="10">
        <v>51184388</v>
      </c>
      <c r="W15" s="10">
        <v>2679825.5</v>
      </c>
      <c r="X15" s="90">
        <v>19420641</v>
      </c>
      <c r="Y15" s="10">
        <v>19756707</v>
      </c>
      <c r="Z15" s="10">
        <v>50856863</v>
      </c>
      <c r="AA15" s="10">
        <v>2781623</v>
      </c>
      <c r="AB15" s="10">
        <v>28235292</v>
      </c>
      <c r="AC15" s="10">
        <v>169170362</v>
      </c>
      <c r="AD15" s="10">
        <v>17268008</v>
      </c>
      <c r="AE15" s="10">
        <f t="shared" si="0"/>
        <v>1355302901.98</v>
      </c>
    </row>
    <row r="20" spans="24:24" x14ac:dyDescent="0.25">
      <c r="X2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49" bestFit="1" customWidth="1"/>
    <col min="2" max="5" width="12.85546875" style="49" customWidth="1"/>
    <col min="6" max="6" width="12.85546875" style="52" customWidth="1"/>
    <col min="7" max="7" width="12.85546875" style="6" customWidth="1"/>
    <col min="8" max="11" width="12.85546875" style="49" customWidth="1"/>
    <col min="12" max="12" width="12.85546875" style="6" customWidth="1"/>
    <col min="13" max="15" width="12.85546875" style="49" customWidth="1"/>
    <col min="16" max="16" width="12.85546875" style="52" customWidth="1"/>
    <col min="17" max="21" width="12.85546875" style="49" customWidth="1"/>
    <col min="22" max="22" width="12.85546875" style="6" customWidth="1"/>
    <col min="23" max="26" width="12.85546875" style="49" customWidth="1"/>
    <col min="27" max="27" width="12.85546875" style="6" customWidth="1"/>
    <col min="28" max="30" width="12.85546875" style="49" customWidth="1"/>
    <col min="31" max="31" width="12.85546875" style="52" customWidth="1"/>
    <col min="32" max="32" width="12.85546875" style="6" customWidth="1"/>
    <col min="33" max="35" width="12.85546875" style="49" customWidth="1"/>
    <col min="36" max="36" width="12.85546875" style="52" customWidth="1"/>
    <col min="37" max="37" width="12.85546875" style="6" customWidth="1"/>
    <col min="38" max="40" width="12.85546875" style="49" customWidth="1"/>
    <col min="41" max="41" width="12.85546875" style="52" customWidth="1"/>
    <col min="42" max="42" width="12.85546875" style="6" customWidth="1"/>
    <col min="43" max="45" width="12.85546875" style="49" customWidth="1"/>
    <col min="46" max="46" width="12.85546875" style="52" customWidth="1"/>
    <col min="47" max="50" width="12.85546875" style="6" customWidth="1"/>
    <col min="51" max="51" width="12.85546875" style="87" customWidth="1"/>
    <col min="52" max="52" width="12.85546875" style="6" customWidth="1"/>
    <col min="53" max="55" width="12.85546875" style="49" customWidth="1"/>
    <col min="56" max="56" width="12.85546875" style="52" customWidth="1"/>
    <col min="57" max="57" width="12.85546875" style="6" customWidth="1"/>
    <col min="58" max="60" width="12.85546875" style="49" customWidth="1"/>
    <col min="61" max="61" width="12.85546875" style="52" customWidth="1"/>
    <col min="62" max="62" width="12.85546875" style="6" customWidth="1"/>
    <col min="63" max="65" width="12.85546875" style="49" customWidth="1"/>
    <col min="66" max="66" width="12.85546875" style="52" customWidth="1"/>
    <col min="67" max="67" width="12.85546875" style="6" customWidth="1"/>
    <col min="68" max="70" width="12.85546875" style="49" customWidth="1"/>
    <col min="71" max="71" width="12.85546875" style="52" customWidth="1"/>
    <col min="72" max="72" width="12.85546875" style="6" customWidth="1"/>
    <col min="73" max="75" width="12.85546875" style="49" customWidth="1"/>
    <col min="76" max="76" width="12.85546875" style="52" customWidth="1"/>
    <col min="77" max="77" width="12.85546875" style="6" customWidth="1"/>
    <col min="78" max="79" width="12.85546875" style="49" customWidth="1"/>
    <col min="80" max="81" width="12.85546875" style="52" customWidth="1"/>
    <col min="82" max="90" width="12.85546875" style="49" customWidth="1"/>
    <col min="91" max="91" width="12.85546875" style="52" customWidth="1"/>
    <col min="92" max="96" width="12.85546875" style="49" customWidth="1"/>
    <col min="97" max="97" width="12.85546875" style="6" customWidth="1"/>
    <col min="98" max="100" width="12.85546875" style="49" customWidth="1"/>
    <col min="101" max="101" width="12.85546875" style="52" customWidth="1"/>
    <col min="102" max="102" width="12.85546875" style="6" customWidth="1"/>
    <col min="103" max="105" width="12.85546875" style="49" customWidth="1"/>
    <col min="106" max="106" width="12.85546875" style="52" customWidth="1"/>
    <col min="107" max="107" width="12.85546875" style="6" customWidth="1"/>
    <col min="108" max="110" width="12.85546875" style="49" customWidth="1"/>
    <col min="111" max="111" width="12.85546875" style="52" customWidth="1"/>
    <col min="112" max="112" width="12.85546875" style="6" customWidth="1"/>
    <col min="113" max="121" width="12.85546875" style="49" customWidth="1"/>
    <col min="122" max="122" width="12.85546875" style="6" customWidth="1"/>
    <col min="123" max="125" width="12.85546875" style="49" customWidth="1"/>
    <col min="126" max="126" width="12.85546875" style="52" customWidth="1"/>
    <col min="127" max="127" width="12.85546875" style="49" customWidth="1"/>
    <col min="128" max="129" width="12.85546875" style="6" customWidth="1"/>
    <col min="130" max="130" width="12.85546875" style="49" customWidth="1"/>
    <col min="131" max="131" width="12.85546875" style="52" customWidth="1"/>
    <col min="132" max="132" width="12.85546875" style="6" customWidth="1"/>
    <col min="133" max="135" width="12.85546875" style="49" customWidth="1"/>
    <col min="136" max="136" width="12.85546875" style="52" customWidth="1"/>
    <col min="137" max="137" width="12.85546875" style="6" customWidth="1"/>
    <col min="138" max="140" width="12.85546875" style="49" customWidth="1"/>
    <col min="141" max="141" width="12.85546875" style="52" customWidth="1"/>
    <col min="142" max="145" width="12.85546875" style="49" customWidth="1"/>
    <col min="146" max="146" width="12.85546875" style="52" customWidth="1"/>
    <col min="147" max="16384" width="9.140625" style="49"/>
  </cols>
  <sheetData>
    <row r="1" spans="1:146" ht="34.5" x14ac:dyDescent="0.25">
      <c r="A1" s="63" t="s">
        <v>282</v>
      </c>
    </row>
    <row r="2" spans="1:146" x14ac:dyDescent="0.25">
      <c r="A2" s="50" t="s">
        <v>0</v>
      </c>
      <c r="B2" s="98" t="s">
        <v>1</v>
      </c>
      <c r="C2" s="98"/>
      <c r="D2" s="98"/>
      <c r="E2" s="98"/>
      <c r="F2" s="98"/>
      <c r="G2" s="98" t="s">
        <v>2</v>
      </c>
      <c r="H2" s="98"/>
      <c r="I2" s="98"/>
      <c r="J2" s="98"/>
      <c r="K2" s="98"/>
      <c r="L2" s="98" t="s">
        <v>3</v>
      </c>
      <c r="M2" s="98"/>
      <c r="N2" s="98"/>
      <c r="O2" s="98"/>
      <c r="P2" s="98"/>
      <c r="Q2" s="98" t="s">
        <v>4</v>
      </c>
      <c r="R2" s="98"/>
      <c r="S2" s="98"/>
      <c r="T2" s="98"/>
      <c r="U2" s="98"/>
      <c r="V2" s="98" t="s">
        <v>5</v>
      </c>
      <c r="W2" s="98"/>
      <c r="X2" s="98"/>
      <c r="Y2" s="98"/>
      <c r="Z2" s="98"/>
      <c r="AA2" s="98" t="s">
        <v>6</v>
      </c>
      <c r="AB2" s="98"/>
      <c r="AC2" s="98"/>
      <c r="AD2" s="98"/>
      <c r="AE2" s="98"/>
      <c r="AF2" s="98" t="s">
        <v>7</v>
      </c>
      <c r="AG2" s="98"/>
      <c r="AH2" s="98"/>
      <c r="AI2" s="98"/>
      <c r="AJ2" s="98"/>
      <c r="AK2" s="98" t="s">
        <v>8</v>
      </c>
      <c r="AL2" s="98"/>
      <c r="AM2" s="98"/>
      <c r="AN2" s="98"/>
      <c r="AO2" s="98"/>
      <c r="AP2" s="98" t="s">
        <v>9</v>
      </c>
      <c r="AQ2" s="98"/>
      <c r="AR2" s="98"/>
      <c r="AS2" s="98"/>
      <c r="AT2" s="98"/>
      <c r="AU2" s="98" t="s">
        <v>10</v>
      </c>
      <c r="AV2" s="98"/>
      <c r="AW2" s="98"/>
      <c r="AX2" s="98"/>
      <c r="AY2" s="98"/>
      <c r="AZ2" s="98" t="s">
        <v>11</v>
      </c>
      <c r="BA2" s="98"/>
      <c r="BB2" s="98"/>
      <c r="BC2" s="98"/>
      <c r="BD2" s="98"/>
      <c r="BE2" s="98" t="s">
        <v>12</v>
      </c>
      <c r="BF2" s="98"/>
      <c r="BG2" s="98"/>
      <c r="BH2" s="98"/>
      <c r="BI2" s="98"/>
      <c r="BJ2" s="98" t="s">
        <v>13</v>
      </c>
      <c r="BK2" s="98"/>
      <c r="BL2" s="98"/>
      <c r="BM2" s="98"/>
      <c r="BN2" s="98"/>
      <c r="BO2" s="98" t="s">
        <v>14</v>
      </c>
      <c r="BP2" s="98"/>
      <c r="BQ2" s="98"/>
      <c r="BR2" s="98"/>
      <c r="BS2" s="98"/>
      <c r="BT2" s="98" t="s">
        <v>15</v>
      </c>
      <c r="BU2" s="98"/>
      <c r="BV2" s="98"/>
      <c r="BW2" s="98"/>
      <c r="BX2" s="98"/>
      <c r="BY2" s="98" t="s">
        <v>16</v>
      </c>
      <c r="BZ2" s="98"/>
      <c r="CA2" s="98"/>
      <c r="CB2" s="98"/>
      <c r="CC2" s="98"/>
      <c r="CD2" s="98" t="s">
        <v>17</v>
      </c>
      <c r="CE2" s="98"/>
      <c r="CF2" s="98"/>
      <c r="CG2" s="98"/>
      <c r="CH2" s="98"/>
      <c r="CI2" s="98" t="s">
        <v>18</v>
      </c>
      <c r="CJ2" s="98"/>
      <c r="CK2" s="98"/>
      <c r="CL2" s="98"/>
      <c r="CM2" s="98"/>
      <c r="CN2" s="98" t="s">
        <v>19</v>
      </c>
      <c r="CO2" s="98"/>
      <c r="CP2" s="98"/>
      <c r="CQ2" s="98"/>
      <c r="CR2" s="98"/>
      <c r="CS2" s="98" t="s">
        <v>20</v>
      </c>
      <c r="CT2" s="98"/>
      <c r="CU2" s="98"/>
      <c r="CV2" s="98"/>
      <c r="CW2" s="98"/>
      <c r="CX2" s="98" t="s">
        <v>21</v>
      </c>
      <c r="CY2" s="98"/>
      <c r="CZ2" s="98"/>
      <c r="DA2" s="98"/>
      <c r="DB2" s="98"/>
      <c r="DC2" s="98" t="s">
        <v>22</v>
      </c>
      <c r="DD2" s="98"/>
      <c r="DE2" s="98"/>
      <c r="DF2" s="98"/>
      <c r="DG2" s="98"/>
      <c r="DH2" s="98" t="s">
        <v>23</v>
      </c>
      <c r="DI2" s="98"/>
      <c r="DJ2" s="98"/>
      <c r="DK2" s="98"/>
      <c r="DL2" s="98"/>
      <c r="DM2" s="98" t="s">
        <v>24</v>
      </c>
      <c r="DN2" s="98"/>
      <c r="DO2" s="98"/>
      <c r="DP2" s="98"/>
      <c r="DQ2" s="98"/>
      <c r="DR2" s="98" t="s">
        <v>25</v>
      </c>
      <c r="DS2" s="98"/>
      <c r="DT2" s="98"/>
      <c r="DU2" s="98"/>
      <c r="DV2" s="98"/>
      <c r="DW2" s="98" t="s">
        <v>26</v>
      </c>
      <c r="DX2" s="98"/>
      <c r="DY2" s="98"/>
      <c r="DZ2" s="98"/>
      <c r="EA2" s="98"/>
      <c r="EB2" s="98" t="s">
        <v>27</v>
      </c>
      <c r="EC2" s="98"/>
      <c r="ED2" s="98"/>
      <c r="EE2" s="98"/>
      <c r="EF2" s="98"/>
      <c r="EG2" s="98" t="s">
        <v>28</v>
      </c>
      <c r="EH2" s="98"/>
      <c r="EI2" s="98"/>
      <c r="EJ2" s="98"/>
      <c r="EK2" s="98"/>
      <c r="EL2" s="98" t="s">
        <v>29</v>
      </c>
      <c r="EM2" s="98"/>
      <c r="EN2" s="98"/>
      <c r="EO2" s="98"/>
      <c r="EP2" s="98"/>
    </row>
    <row r="3" spans="1:146" ht="15" customHeight="1" x14ac:dyDescent="0.25">
      <c r="A3" s="93" t="s">
        <v>178</v>
      </c>
      <c r="B3" s="93" t="s">
        <v>172</v>
      </c>
      <c r="C3" s="93" t="s">
        <v>173</v>
      </c>
      <c r="D3" s="93"/>
      <c r="E3" s="93"/>
      <c r="F3" s="94" t="s">
        <v>174</v>
      </c>
      <c r="G3" s="95" t="s">
        <v>172</v>
      </c>
      <c r="H3" s="93" t="s">
        <v>173</v>
      </c>
      <c r="I3" s="93"/>
      <c r="J3" s="93"/>
      <c r="K3" s="93" t="s">
        <v>174</v>
      </c>
      <c r="L3" s="95" t="s">
        <v>172</v>
      </c>
      <c r="M3" s="93" t="s">
        <v>173</v>
      </c>
      <c r="N3" s="93"/>
      <c r="O3" s="93"/>
      <c r="P3" s="94" t="s">
        <v>174</v>
      </c>
      <c r="Q3" s="93" t="s">
        <v>172</v>
      </c>
      <c r="R3" s="93" t="s">
        <v>173</v>
      </c>
      <c r="S3" s="93"/>
      <c r="T3" s="93"/>
      <c r="U3" s="93" t="s">
        <v>174</v>
      </c>
      <c r="V3" s="95" t="s">
        <v>172</v>
      </c>
      <c r="W3" s="93" t="s">
        <v>173</v>
      </c>
      <c r="X3" s="93"/>
      <c r="Y3" s="93"/>
      <c r="Z3" s="93" t="s">
        <v>174</v>
      </c>
      <c r="AA3" s="95" t="s">
        <v>172</v>
      </c>
      <c r="AB3" s="93" t="s">
        <v>173</v>
      </c>
      <c r="AC3" s="93"/>
      <c r="AD3" s="93"/>
      <c r="AE3" s="94" t="s">
        <v>174</v>
      </c>
      <c r="AF3" s="95" t="s">
        <v>172</v>
      </c>
      <c r="AG3" s="93" t="s">
        <v>173</v>
      </c>
      <c r="AH3" s="93"/>
      <c r="AI3" s="93"/>
      <c r="AJ3" s="94" t="s">
        <v>174</v>
      </c>
      <c r="AK3" s="95" t="s">
        <v>172</v>
      </c>
      <c r="AL3" s="93" t="s">
        <v>173</v>
      </c>
      <c r="AM3" s="93"/>
      <c r="AN3" s="93"/>
      <c r="AO3" s="94" t="s">
        <v>174</v>
      </c>
      <c r="AP3" s="95" t="s">
        <v>172</v>
      </c>
      <c r="AQ3" s="93" t="s">
        <v>173</v>
      </c>
      <c r="AR3" s="93"/>
      <c r="AS3" s="93"/>
      <c r="AT3" s="94" t="s">
        <v>174</v>
      </c>
      <c r="AU3" s="95" t="s">
        <v>172</v>
      </c>
      <c r="AV3" s="95" t="s">
        <v>173</v>
      </c>
      <c r="AW3" s="95"/>
      <c r="AX3" s="95"/>
      <c r="AY3" s="97" t="s">
        <v>174</v>
      </c>
      <c r="AZ3" s="95" t="s">
        <v>172</v>
      </c>
      <c r="BA3" s="93" t="s">
        <v>173</v>
      </c>
      <c r="BB3" s="93"/>
      <c r="BC3" s="93"/>
      <c r="BD3" s="94" t="s">
        <v>174</v>
      </c>
      <c r="BE3" s="95" t="s">
        <v>172</v>
      </c>
      <c r="BF3" s="93" t="s">
        <v>173</v>
      </c>
      <c r="BG3" s="93"/>
      <c r="BH3" s="93"/>
      <c r="BI3" s="94" t="s">
        <v>174</v>
      </c>
      <c r="BJ3" s="95" t="s">
        <v>172</v>
      </c>
      <c r="BK3" s="93" t="s">
        <v>173</v>
      </c>
      <c r="BL3" s="93"/>
      <c r="BM3" s="93"/>
      <c r="BN3" s="94" t="s">
        <v>174</v>
      </c>
      <c r="BO3" s="95" t="s">
        <v>172</v>
      </c>
      <c r="BP3" s="93" t="s">
        <v>173</v>
      </c>
      <c r="BQ3" s="93"/>
      <c r="BR3" s="93"/>
      <c r="BS3" s="94" t="s">
        <v>174</v>
      </c>
      <c r="BT3" s="95" t="s">
        <v>172</v>
      </c>
      <c r="BU3" s="93" t="s">
        <v>173</v>
      </c>
      <c r="BV3" s="93"/>
      <c r="BW3" s="93"/>
      <c r="BX3" s="94" t="s">
        <v>174</v>
      </c>
      <c r="BY3" s="95" t="s">
        <v>172</v>
      </c>
      <c r="BZ3" s="93" t="s">
        <v>173</v>
      </c>
      <c r="CA3" s="93"/>
      <c r="CB3" s="93"/>
      <c r="CC3" s="94" t="s">
        <v>174</v>
      </c>
      <c r="CD3" s="93" t="s">
        <v>172</v>
      </c>
      <c r="CE3" s="93" t="s">
        <v>173</v>
      </c>
      <c r="CF3" s="93"/>
      <c r="CG3" s="93"/>
      <c r="CH3" s="96" t="s">
        <v>174</v>
      </c>
      <c r="CI3" s="93" t="s">
        <v>172</v>
      </c>
      <c r="CJ3" s="93" t="s">
        <v>173</v>
      </c>
      <c r="CK3" s="93"/>
      <c r="CL3" s="93"/>
      <c r="CM3" s="94" t="s">
        <v>174</v>
      </c>
      <c r="CN3" s="93" t="s">
        <v>172</v>
      </c>
      <c r="CO3" s="93" t="s">
        <v>173</v>
      </c>
      <c r="CP3" s="93"/>
      <c r="CQ3" s="93"/>
      <c r="CR3" s="96" t="s">
        <v>174</v>
      </c>
      <c r="CS3" s="95" t="s">
        <v>172</v>
      </c>
      <c r="CT3" s="93" t="s">
        <v>173</v>
      </c>
      <c r="CU3" s="93"/>
      <c r="CV3" s="93"/>
      <c r="CW3" s="94" t="s">
        <v>174</v>
      </c>
      <c r="CX3" s="95" t="s">
        <v>172</v>
      </c>
      <c r="CY3" s="93" t="s">
        <v>173</v>
      </c>
      <c r="CZ3" s="93"/>
      <c r="DA3" s="93"/>
      <c r="DB3" s="94" t="s">
        <v>174</v>
      </c>
      <c r="DC3" s="95" t="s">
        <v>172</v>
      </c>
      <c r="DD3" s="93" t="s">
        <v>173</v>
      </c>
      <c r="DE3" s="93"/>
      <c r="DF3" s="93"/>
      <c r="DG3" s="94" t="s">
        <v>174</v>
      </c>
      <c r="DH3" s="95" t="s">
        <v>172</v>
      </c>
      <c r="DI3" s="93" t="s">
        <v>173</v>
      </c>
      <c r="DJ3" s="93"/>
      <c r="DK3" s="93"/>
      <c r="DL3" s="96" t="s">
        <v>174</v>
      </c>
      <c r="DM3" s="93" t="s">
        <v>172</v>
      </c>
      <c r="DN3" s="93" t="s">
        <v>173</v>
      </c>
      <c r="DO3" s="93"/>
      <c r="DP3" s="93"/>
      <c r="DQ3" s="96" t="s">
        <v>174</v>
      </c>
      <c r="DR3" s="95" t="s">
        <v>172</v>
      </c>
      <c r="DS3" s="93" t="s">
        <v>173</v>
      </c>
      <c r="DT3" s="93"/>
      <c r="DU3" s="93"/>
      <c r="DV3" s="94" t="s">
        <v>174</v>
      </c>
      <c r="DW3" s="93" t="s">
        <v>172</v>
      </c>
      <c r="DX3" s="93" t="s">
        <v>173</v>
      </c>
      <c r="DY3" s="93"/>
      <c r="DZ3" s="93"/>
      <c r="EA3" s="94" t="s">
        <v>174</v>
      </c>
      <c r="EB3" s="95" t="s">
        <v>172</v>
      </c>
      <c r="EC3" s="93" t="s">
        <v>173</v>
      </c>
      <c r="ED3" s="93"/>
      <c r="EE3" s="93"/>
      <c r="EF3" s="94" t="s">
        <v>174</v>
      </c>
      <c r="EG3" s="95" t="s">
        <v>172</v>
      </c>
      <c r="EH3" s="93" t="s">
        <v>173</v>
      </c>
      <c r="EI3" s="93"/>
      <c r="EJ3" s="93"/>
      <c r="EK3" s="94" t="s">
        <v>174</v>
      </c>
      <c r="EL3" s="93" t="s">
        <v>172</v>
      </c>
      <c r="EM3" s="93" t="s">
        <v>173</v>
      </c>
      <c r="EN3" s="93"/>
      <c r="EO3" s="93"/>
      <c r="EP3" s="94" t="s">
        <v>174</v>
      </c>
    </row>
    <row r="4" spans="1:146" ht="30" x14ac:dyDescent="0.25">
      <c r="A4" s="93"/>
      <c r="B4" s="93"/>
      <c r="C4" s="18" t="s">
        <v>175</v>
      </c>
      <c r="D4" s="18" t="s">
        <v>176</v>
      </c>
      <c r="E4" s="18" t="s">
        <v>177</v>
      </c>
      <c r="F4" s="94"/>
      <c r="G4" s="95"/>
      <c r="H4" s="18" t="s">
        <v>175</v>
      </c>
      <c r="I4" s="18" t="s">
        <v>176</v>
      </c>
      <c r="J4" s="18" t="s">
        <v>177</v>
      </c>
      <c r="K4" s="93"/>
      <c r="L4" s="95"/>
      <c r="M4" s="18" t="s">
        <v>175</v>
      </c>
      <c r="N4" s="18" t="s">
        <v>176</v>
      </c>
      <c r="O4" s="18" t="s">
        <v>177</v>
      </c>
      <c r="P4" s="94"/>
      <c r="Q4" s="93"/>
      <c r="R4" s="18" t="s">
        <v>175</v>
      </c>
      <c r="S4" s="18" t="s">
        <v>176</v>
      </c>
      <c r="T4" s="18" t="s">
        <v>177</v>
      </c>
      <c r="U4" s="93"/>
      <c r="V4" s="95"/>
      <c r="W4" s="18" t="s">
        <v>175</v>
      </c>
      <c r="X4" s="18" t="s">
        <v>176</v>
      </c>
      <c r="Y4" s="18" t="s">
        <v>177</v>
      </c>
      <c r="Z4" s="93"/>
      <c r="AA4" s="95"/>
      <c r="AB4" s="18" t="s">
        <v>175</v>
      </c>
      <c r="AC4" s="18" t="s">
        <v>176</v>
      </c>
      <c r="AD4" s="18" t="s">
        <v>177</v>
      </c>
      <c r="AE4" s="94"/>
      <c r="AF4" s="95"/>
      <c r="AG4" s="18" t="s">
        <v>175</v>
      </c>
      <c r="AH4" s="18" t="s">
        <v>176</v>
      </c>
      <c r="AI4" s="18" t="s">
        <v>177</v>
      </c>
      <c r="AJ4" s="94"/>
      <c r="AK4" s="95"/>
      <c r="AL4" s="18" t="s">
        <v>175</v>
      </c>
      <c r="AM4" s="18" t="s">
        <v>176</v>
      </c>
      <c r="AN4" s="18" t="s">
        <v>177</v>
      </c>
      <c r="AO4" s="94"/>
      <c r="AP4" s="95"/>
      <c r="AQ4" s="18" t="s">
        <v>175</v>
      </c>
      <c r="AR4" s="18" t="s">
        <v>176</v>
      </c>
      <c r="AS4" s="18" t="s">
        <v>177</v>
      </c>
      <c r="AT4" s="94"/>
      <c r="AU4" s="95"/>
      <c r="AV4" s="16" t="s">
        <v>175</v>
      </c>
      <c r="AW4" s="16" t="s">
        <v>176</v>
      </c>
      <c r="AX4" s="16" t="s">
        <v>177</v>
      </c>
      <c r="AY4" s="97"/>
      <c r="AZ4" s="95"/>
      <c r="BA4" s="18" t="s">
        <v>175</v>
      </c>
      <c r="BB4" s="18" t="s">
        <v>176</v>
      </c>
      <c r="BC4" s="18" t="s">
        <v>177</v>
      </c>
      <c r="BD4" s="94"/>
      <c r="BE4" s="95"/>
      <c r="BF4" s="18" t="s">
        <v>175</v>
      </c>
      <c r="BG4" s="18" t="s">
        <v>176</v>
      </c>
      <c r="BH4" s="18" t="s">
        <v>177</v>
      </c>
      <c r="BI4" s="94"/>
      <c r="BJ4" s="95"/>
      <c r="BK4" s="18" t="s">
        <v>175</v>
      </c>
      <c r="BL4" s="18" t="s">
        <v>176</v>
      </c>
      <c r="BM4" s="18" t="s">
        <v>177</v>
      </c>
      <c r="BN4" s="94"/>
      <c r="BO4" s="95"/>
      <c r="BP4" s="18" t="s">
        <v>175</v>
      </c>
      <c r="BQ4" s="18" t="s">
        <v>176</v>
      </c>
      <c r="BR4" s="18" t="s">
        <v>177</v>
      </c>
      <c r="BS4" s="94"/>
      <c r="BT4" s="95"/>
      <c r="BU4" s="18" t="s">
        <v>175</v>
      </c>
      <c r="BV4" s="18" t="s">
        <v>176</v>
      </c>
      <c r="BW4" s="18" t="s">
        <v>177</v>
      </c>
      <c r="BX4" s="94"/>
      <c r="BY4" s="95"/>
      <c r="BZ4" s="18" t="s">
        <v>175</v>
      </c>
      <c r="CA4" s="18" t="s">
        <v>176</v>
      </c>
      <c r="CB4" s="79" t="s">
        <v>177</v>
      </c>
      <c r="CC4" s="94"/>
      <c r="CD4" s="93"/>
      <c r="CE4" s="18" t="s">
        <v>175</v>
      </c>
      <c r="CF4" s="18" t="s">
        <v>176</v>
      </c>
      <c r="CG4" s="18" t="s">
        <v>177</v>
      </c>
      <c r="CH4" s="96"/>
      <c r="CI4" s="93"/>
      <c r="CJ4" s="18" t="s">
        <v>175</v>
      </c>
      <c r="CK4" s="18" t="s">
        <v>176</v>
      </c>
      <c r="CL4" s="18" t="s">
        <v>177</v>
      </c>
      <c r="CM4" s="94"/>
      <c r="CN4" s="93"/>
      <c r="CO4" s="18" t="s">
        <v>175</v>
      </c>
      <c r="CP4" s="18" t="s">
        <v>176</v>
      </c>
      <c r="CQ4" s="18" t="s">
        <v>177</v>
      </c>
      <c r="CR4" s="96"/>
      <c r="CS4" s="95"/>
      <c r="CT4" s="18" t="s">
        <v>175</v>
      </c>
      <c r="CU4" s="18" t="s">
        <v>176</v>
      </c>
      <c r="CV4" s="18" t="s">
        <v>177</v>
      </c>
      <c r="CW4" s="94"/>
      <c r="CX4" s="95"/>
      <c r="CY4" s="18" t="s">
        <v>175</v>
      </c>
      <c r="CZ4" s="18" t="s">
        <v>176</v>
      </c>
      <c r="DA4" s="18" t="s">
        <v>177</v>
      </c>
      <c r="DB4" s="94"/>
      <c r="DC4" s="95"/>
      <c r="DD4" s="18" t="s">
        <v>175</v>
      </c>
      <c r="DE4" s="18" t="s">
        <v>176</v>
      </c>
      <c r="DF4" s="18" t="s">
        <v>177</v>
      </c>
      <c r="DG4" s="94"/>
      <c r="DH4" s="95"/>
      <c r="DI4" s="18" t="s">
        <v>175</v>
      </c>
      <c r="DJ4" s="18" t="s">
        <v>176</v>
      </c>
      <c r="DK4" s="18" t="s">
        <v>177</v>
      </c>
      <c r="DL4" s="96"/>
      <c r="DM4" s="93"/>
      <c r="DN4" s="18" t="s">
        <v>175</v>
      </c>
      <c r="DO4" s="18" t="s">
        <v>176</v>
      </c>
      <c r="DP4" s="18" t="s">
        <v>177</v>
      </c>
      <c r="DQ4" s="96"/>
      <c r="DR4" s="95"/>
      <c r="DS4" s="18" t="s">
        <v>175</v>
      </c>
      <c r="DT4" s="18" t="s">
        <v>176</v>
      </c>
      <c r="DU4" s="18" t="s">
        <v>177</v>
      </c>
      <c r="DV4" s="94"/>
      <c r="DW4" s="93"/>
      <c r="DX4" s="16" t="s">
        <v>175</v>
      </c>
      <c r="DY4" s="16" t="s">
        <v>176</v>
      </c>
      <c r="DZ4" s="18" t="s">
        <v>177</v>
      </c>
      <c r="EA4" s="94"/>
      <c r="EB4" s="95"/>
      <c r="EC4" s="18" t="s">
        <v>175</v>
      </c>
      <c r="ED4" s="18" t="s">
        <v>176</v>
      </c>
      <c r="EE4" s="18" t="s">
        <v>177</v>
      </c>
      <c r="EF4" s="94"/>
      <c r="EG4" s="95"/>
      <c r="EH4" s="18" t="s">
        <v>175</v>
      </c>
      <c r="EI4" s="18" t="s">
        <v>176</v>
      </c>
      <c r="EJ4" s="18" t="s">
        <v>177</v>
      </c>
      <c r="EK4" s="94"/>
      <c r="EL4" s="93"/>
      <c r="EM4" s="18" t="s">
        <v>175</v>
      </c>
      <c r="EN4" s="18" t="s">
        <v>176</v>
      </c>
      <c r="EO4" s="18" t="s">
        <v>177</v>
      </c>
      <c r="EP4" s="94"/>
    </row>
    <row r="5" spans="1:146" x14ac:dyDescent="0.25">
      <c r="A5" s="19" t="s">
        <v>179</v>
      </c>
      <c r="B5" s="19"/>
      <c r="C5" s="19"/>
      <c r="D5" s="19"/>
      <c r="E5" s="19"/>
      <c r="F5" s="46"/>
      <c r="G5" s="9"/>
      <c r="H5" s="19"/>
      <c r="I5" s="19"/>
      <c r="J5" s="19"/>
      <c r="K5" s="19"/>
      <c r="L5" s="9"/>
      <c r="M5" s="19"/>
      <c r="N5" s="19"/>
      <c r="O5" s="19"/>
      <c r="P5" s="46"/>
      <c r="Q5" s="19"/>
      <c r="R5" s="19"/>
      <c r="S5" s="19"/>
      <c r="T5" s="19"/>
      <c r="U5" s="19"/>
      <c r="V5" s="9"/>
      <c r="W5" s="19"/>
      <c r="X5" s="19"/>
      <c r="Y5" s="76"/>
      <c r="Z5" s="19"/>
      <c r="AA5" s="9"/>
      <c r="AB5" s="19"/>
      <c r="AC5" s="19"/>
      <c r="AD5" s="19"/>
      <c r="AE5" s="46"/>
      <c r="AF5" s="9"/>
      <c r="AG5" s="19"/>
      <c r="AH5" s="19"/>
      <c r="AI5" s="19"/>
      <c r="AJ5" s="46"/>
      <c r="AK5" s="9"/>
      <c r="AL5" s="19"/>
      <c r="AM5" s="19"/>
      <c r="AN5" s="19"/>
      <c r="AO5" s="46"/>
      <c r="AP5" s="9"/>
      <c r="AQ5" s="19"/>
      <c r="AR5" s="19"/>
      <c r="AS5" s="19"/>
      <c r="AT5" s="46"/>
      <c r="AU5" s="9"/>
      <c r="AV5" s="9"/>
      <c r="AW5" s="9"/>
      <c r="AX5" s="9"/>
      <c r="AY5" s="88"/>
      <c r="AZ5" s="9"/>
      <c r="BA5" s="19"/>
      <c r="BB5" s="19"/>
      <c r="BC5" s="19"/>
      <c r="BD5" s="46"/>
      <c r="BE5" s="9"/>
      <c r="BF5" s="19"/>
      <c r="BG5" s="19"/>
      <c r="BH5" s="19"/>
      <c r="BI5" s="46"/>
      <c r="BJ5" s="9"/>
      <c r="BK5" s="19"/>
      <c r="BL5" s="19"/>
      <c r="BM5" s="19"/>
      <c r="BN5" s="46"/>
      <c r="BO5" s="9"/>
      <c r="BP5" s="19"/>
      <c r="BQ5" s="19"/>
      <c r="BR5" s="19"/>
      <c r="BS5" s="46"/>
      <c r="BT5" s="9"/>
      <c r="BU5" s="19"/>
      <c r="BV5" s="19"/>
      <c r="BW5" s="19"/>
      <c r="BX5" s="46"/>
      <c r="BY5" s="9"/>
      <c r="BZ5" s="19"/>
      <c r="CA5" s="19"/>
      <c r="CB5" s="46"/>
      <c r="CC5" s="46"/>
      <c r="CD5" s="19"/>
      <c r="CE5" s="68">
        <v>669.42</v>
      </c>
      <c r="CF5" s="19"/>
      <c r="CG5" s="19"/>
      <c r="CH5" s="46">
        <v>4.8999999999999998E-3</v>
      </c>
      <c r="CI5" s="19">
        <v>4</v>
      </c>
      <c r="CJ5" s="19"/>
      <c r="CK5" s="19"/>
      <c r="CL5" s="19">
        <v>634.39</v>
      </c>
      <c r="CM5" s="46">
        <v>7.6E-3</v>
      </c>
      <c r="CN5" s="19"/>
      <c r="CO5" s="19"/>
      <c r="CP5" s="19"/>
      <c r="CQ5" s="19"/>
      <c r="CR5" s="46"/>
      <c r="CS5" s="9"/>
      <c r="CT5" s="19"/>
      <c r="CU5" s="19"/>
      <c r="CV5" s="19"/>
      <c r="CW5" s="46"/>
      <c r="CX5" s="9">
        <v>1</v>
      </c>
      <c r="CY5" s="19">
        <v>0.95</v>
      </c>
      <c r="CZ5" s="19">
        <v>-20.04</v>
      </c>
      <c r="DA5" s="19"/>
      <c r="DB5" s="46">
        <v>-8.0000000000000004E-4</v>
      </c>
      <c r="DC5" s="9"/>
      <c r="DD5" s="19"/>
      <c r="DE5" s="19"/>
      <c r="DF5" s="19"/>
      <c r="DG5" s="46"/>
      <c r="DH5" s="9"/>
      <c r="DI5" s="19"/>
      <c r="DJ5" s="19"/>
      <c r="DK5" s="19"/>
      <c r="DL5" s="19"/>
      <c r="DM5" s="19"/>
      <c r="DN5" s="19"/>
      <c r="DO5" s="19"/>
      <c r="DP5" s="19"/>
      <c r="DQ5" s="19"/>
      <c r="DR5" s="9">
        <v>1</v>
      </c>
      <c r="DS5" s="19">
        <v>0.53</v>
      </c>
      <c r="DT5" s="19"/>
      <c r="DU5" s="19"/>
      <c r="DV5" s="46"/>
      <c r="DW5" s="19"/>
      <c r="DX5" s="9"/>
      <c r="DY5" s="9"/>
      <c r="DZ5" s="19"/>
      <c r="EA5" s="46"/>
      <c r="EB5" s="9"/>
      <c r="EC5" s="19"/>
      <c r="ED5" s="19"/>
      <c r="EE5" s="19"/>
      <c r="EF5" s="46"/>
      <c r="EG5" s="9">
        <v>1</v>
      </c>
      <c r="EH5" s="19"/>
      <c r="EI5" s="19"/>
      <c r="EJ5" s="19">
        <v>2.15</v>
      </c>
      <c r="EK5" s="46">
        <v>6.9999999999999999E-4</v>
      </c>
      <c r="EL5" s="9">
        <v>10</v>
      </c>
      <c r="EM5" s="80">
        <v>683</v>
      </c>
      <c r="EN5" s="80">
        <v>325</v>
      </c>
      <c r="EO5" s="80">
        <v>3088</v>
      </c>
      <c r="EP5" s="46">
        <v>6.5500000000000003E-2</v>
      </c>
    </row>
    <row r="6" spans="1:146" x14ac:dyDescent="0.25">
      <c r="A6" s="19" t="s">
        <v>180</v>
      </c>
      <c r="B6" s="19"/>
      <c r="C6" s="19"/>
      <c r="D6" s="19"/>
      <c r="E6" s="19"/>
      <c r="F6" s="46"/>
      <c r="G6" s="9">
        <v>5</v>
      </c>
      <c r="H6" s="19">
        <v>39279.99</v>
      </c>
      <c r="I6" s="19">
        <v>6258.26</v>
      </c>
      <c r="J6" s="19"/>
      <c r="K6" s="46">
        <v>8.7400000000000005E-2</v>
      </c>
      <c r="L6" s="9"/>
      <c r="M6" s="19"/>
      <c r="N6" s="19"/>
      <c r="O6" s="19"/>
      <c r="P6" s="46"/>
      <c r="Q6" s="9">
        <v>32</v>
      </c>
      <c r="R6" s="19">
        <v>24472</v>
      </c>
      <c r="S6" s="19">
        <v>1101</v>
      </c>
      <c r="T6" s="19">
        <v>3209</v>
      </c>
      <c r="U6" s="74">
        <v>0.5</v>
      </c>
      <c r="V6" s="9">
        <v>3</v>
      </c>
      <c r="W6" s="19">
        <v>31.7</v>
      </c>
      <c r="X6" s="19"/>
      <c r="Y6">
        <v>-13.61</v>
      </c>
      <c r="Z6" s="43">
        <v>3.8999999999999998E-3</v>
      </c>
      <c r="AA6" s="9"/>
      <c r="AB6">
        <v>542.78</v>
      </c>
      <c r="AC6" s="19"/>
      <c r="AD6" s="19"/>
      <c r="AE6" s="46">
        <v>1.95E-2</v>
      </c>
      <c r="AF6" s="9"/>
      <c r="AG6" s="19"/>
      <c r="AH6" s="19"/>
      <c r="AI6" s="19"/>
      <c r="AJ6" s="46"/>
      <c r="AK6" s="9">
        <v>1</v>
      </c>
      <c r="AL6">
        <v>2568.16</v>
      </c>
      <c r="AM6" s="19"/>
      <c r="AN6" s="19"/>
      <c r="AO6" s="46">
        <v>0.21970000000000001</v>
      </c>
      <c r="AP6" s="9">
        <v>4</v>
      </c>
      <c r="AQ6" s="19">
        <v>706.84</v>
      </c>
      <c r="AR6" s="19">
        <v>18.68</v>
      </c>
      <c r="AS6" s="19">
        <v>-4.68</v>
      </c>
      <c r="AT6" s="46">
        <v>2.86E-2</v>
      </c>
      <c r="AU6" s="9">
        <v>1</v>
      </c>
      <c r="AV6" s="9">
        <v>87</v>
      </c>
      <c r="AW6" s="9"/>
      <c r="AX6" s="9"/>
      <c r="AY6" s="88">
        <v>0.04</v>
      </c>
      <c r="AZ6" s="9">
        <v>27</v>
      </c>
      <c r="BA6" s="19">
        <v>75962</v>
      </c>
      <c r="BB6" s="19">
        <v>3200</v>
      </c>
      <c r="BC6" s="19">
        <v>10290</v>
      </c>
      <c r="BD6" s="46">
        <v>0.2049</v>
      </c>
      <c r="BE6" s="9">
        <v>17</v>
      </c>
      <c r="BF6" s="19">
        <v>77039</v>
      </c>
      <c r="BG6" s="19">
        <v>801</v>
      </c>
      <c r="BH6" s="19">
        <v>8684</v>
      </c>
      <c r="BI6" s="46">
        <v>0.41</v>
      </c>
      <c r="BJ6" s="9"/>
      <c r="BK6" s="19"/>
      <c r="BL6" s="19"/>
      <c r="BM6" s="19"/>
      <c r="BN6" s="46"/>
      <c r="BO6" s="9">
        <v>6</v>
      </c>
      <c r="BP6" s="19">
        <v>321</v>
      </c>
      <c r="BQ6" s="19">
        <v>68</v>
      </c>
      <c r="BR6" s="19"/>
      <c r="BS6" s="46">
        <v>0.16170000000000001</v>
      </c>
      <c r="BT6" s="9"/>
      <c r="BU6" s="19"/>
      <c r="BV6" s="19"/>
      <c r="BW6" s="19"/>
      <c r="BX6" s="46"/>
      <c r="BY6" s="9"/>
      <c r="BZ6" s="19"/>
      <c r="CA6" s="19"/>
      <c r="CB6" s="46"/>
      <c r="CC6" s="46"/>
      <c r="CD6" s="19"/>
      <c r="CE6" s="68">
        <v>3.99</v>
      </c>
      <c r="CF6" s="69">
        <v>11.05</v>
      </c>
      <c r="CG6" s="70">
        <v>66.81</v>
      </c>
      <c r="CH6" s="46">
        <v>5.9999999999999995E-4</v>
      </c>
      <c r="CI6" s="19">
        <v>30</v>
      </c>
      <c r="CJ6" s="19">
        <v>-0.27</v>
      </c>
      <c r="CK6" s="19"/>
      <c r="CL6" s="19">
        <v>1240.4100000000001</v>
      </c>
      <c r="CM6" s="46">
        <v>1.4800000000000001E-2</v>
      </c>
      <c r="CN6" s="19"/>
      <c r="CO6" s="19">
        <v>2018.55</v>
      </c>
      <c r="CP6" s="19">
        <v>87.03</v>
      </c>
      <c r="CQ6" s="19"/>
      <c r="CR6" s="46"/>
      <c r="CS6" s="9">
        <v>2</v>
      </c>
      <c r="CT6" s="19"/>
      <c r="CU6" s="19"/>
      <c r="CV6" s="80">
        <v>125.43</v>
      </c>
      <c r="CW6" s="46">
        <v>7.2400000000000006E-2</v>
      </c>
      <c r="CX6" s="9">
        <v>12</v>
      </c>
      <c r="CY6" s="19">
        <v>678.11</v>
      </c>
      <c r="CZ6" s="19">
        <v>2628.14</v>
      </c>
      <c r="DA6" s="19">
        <v>93.77</v>
      </c>
      <c r="DB6" s="46">
        <v>0.1492</v>
      </c>
      <c r="DC6" s="9">
        <v>2</v>
      </c>
      <c r="DD6" s="80">
        <v>-3.6</v>
      </c>
      <c r="DE6" s="19"/>
      <c r="DF6" s="80">
        <v>3.9</v>
      </c>
      <c r="DG6" s="46"/>
      <c r="DH6" s="9">
        <v>3</v>
      </c>
      <c r="DI6" s="80">
        <v>8685.31</v>
      </c>
      <c r="DJ6" s="80">
        <v>1138.8499999999999</v>
      </c>
      <c r="DK6" s="80">
        <v>12.72</v>
      </c>
      <c r="DL6" s="43">
        <v>0.34589999999999999</v>
      </c>
      <c r="DM6" s="19">
        <v>4</v>
      </c>
      <c r="DN6" s="80">
        <v>5346.65</v>
      </c>
      <c r="DO6" s="80">
        <v>1036.73</v>
      </c>
      <c r="DP6" s="80">
        <v>-0.05</v>
      </c>
      <c r="DQ6" s="46">
        <v>6.6199999999999995E-2</v>
      </c>
      <c r="DR6" s="9">
        <v>5</v>
      </c>
      <c r="DS6" s="19">
        <v>10492.76</v>
      </c>
      <c r="DT6" s="19">
        <v>477.24</v>
      </c>
      <c r="DU6" s="19">
        <v>7.42</v>
      </c>
      <c r="DV6" s="46">
        <v>0.50760000000000005</v>
      </c>
      <c r="DW6" s="19"/>
      <c r="DX6" s="9"/>
      <c r="DY6" s="9"/>
      <c r="DZ6" s="19"/>
      <c r="EA6" s="46"/>
      <c r="EB6" s="9">
        <v>13</v>
      </c>
      <c r="EC6" s="9">
        <v>3851</v>
      </c>
      <c r="ED6" s="9">
        <v>1352</v>
      </c>
      <c r="EE6" s="9">
        <v>105</v>
      </c>
      <c r="EF6" s="46">
        <v>0.26379999999999998</v>
      </c>
      <c r="EG6" s="9">
        <v>7</v>
      </c>
      <c r="EH6" s="19">
        <v>1.1599999999999999</v>
      </c>
      <c r="EI6" s="19">
        <v>12.4</v>
      </c>
      <c r="EJ6" s="19">
        <v>65.150000000000006</v>
      </c>
      <c r="EK6" s="46">
        <v>2.6100000000000002E-2</v>
      </c>
      <c r="EL6" s="9">
        <v>20</v>
      </c>
      <c r="EM6" s="80">
        <v>49770</v>
      </c>
      <c r="EN6" s="80">
        <v>5746</v>
      </c>
      <c r="EO6" s="80">
        <v>356</v>
      </c>
      <c r="EP6" s="46">
        <v>0.89290000000000003</v>
      </c>
    </row>
    <row r="7" spans="1:146" x14ac:dyDescent="0.25">
      <c r="A7" s="19" t="s">
        <v>181</v>
      </c>
      <c r="B7" s="19">
        <v>1</v>
      </c>
      <c r="C7" s="19">
        <v>11.88</v>
      </c>
      <c r="D7" s="19"/>
      <c r="E7" s="19">
        <v>0.17</v>
      </c>
      <c r="F7" s="46">
        <v>4.2700000000000002E-2</v>
      </c>
      <c r="G7" s="9">
        <v>33</v>
      </c>
      <c r="H7" s="19">
        <v>82128.19</v>
      </c>
      <c r="I7" s="19">
        <v>8360.4</v>
      </c>
      <c r="J7" s="19"/>
      <c r="K7" s="46">
        <v>0.17369999999999999</v>
      </c>
      <c r="L7" s="9">
        <v>3</v>
      </c>
      <c r="M7" s="19">
        <v>4211</v>
      </c>
      <c r="N7" s="19">
        <v>35</v>
      </c>
      <c r="O7" s="19"/>
      <c r="P7" s="46">
        <v>0.18</v>
      </c>
      <c r="Q7" s="9">
        <v>61</v>
      </c>
      <c r="R7" s="19">
        <v>17326</v>
      </c>
      <c r="S7" s="19">
        <v>212</v>
      </c>
      <c r="T7" s="19">
        <v>3345</v>
      </c>
      <c r="U7" s="74">
        <v>0.36</v>
      </c>
      <c r="V7" s="9">
        <v>25</v>
      </c>
      <c r="W7">
        <v>657.27</v>
      </c>
      <c r="X7" s="19">
        <v>283.3</v>
      </c>
      <c r="Y7" s="76">
        <v>1298.82</v>
      </c>
      <c r="Z7" s="43">
        <v>0.48110000000000003</v>
      </c>
      <c r="AA7" s="9"/>
      <c r="AB7" s="19">
        <v>16001.69</v>
      </c>
      <c r="AC7" s="19">
        <v>27.06</v>
      </c>
      <c r="AD7" s="19">
        <v>916.66</v>
      </c>
      <c r="AE7" s="46">
        <v>0.60780000000000001</v>
      </c>
      <c r="AF7" s="9">
        <v>2</v>
      </c>
      <c r="AG7" s="80">
        <v>1364.28</v>
      </c>
      <c r="AH7" s="19"/>
      <c r="AI7" s="80">
        <v>4.0599999999999996</v>
      </c>
      <c r="AJ7" s="46">
        <v>1</v>
      </c>
      <c r="AK7" s="9">
        <v>4</v>
      </c>
      <c r="AL7" s="19">
        <v>3121.72</v>
      </c>
      <c r="AM7" s="19"/>
      <c r="AN7" s="19"/>
      <c r="AO7" s="46">
        <v>0.26700000000000002</v>
      </c>
      <c r="AP7" s="9">
        <v>46</v>
      </c>
      <c r="AQ7" s="19">
        <v>4231.0200000000004</v>
      </c>
      <c r="AR7" s="19">
        <v>330.13</v>
      </c>
      <c r="AS7" s="19">
        <v>2442.6999999999998</v>
      </c>
      <c r="AT7" s="46">
        <v>0.2782</v>
      </c>
      <c r="AU7" s="9">
        <v>23</v>
      </c>
      <c r="AV7" s="9">
        <v>2072</v>
      </c>
      <c r="AW7" s="9">
        <v>92</v>
      </c>
      <c r="AX7" s="9">
        <v>-28</v>
      </c>
      <c r="AY7" s="88">
        <v>0.94</v>
      </c>
      <c r="AZ7" s="9">
        <v>87</v>
      </c>
      <c r="BA7" s="19">
        <v>278240</v>
      </c>
      <c r="BB7" s="19">
        <v>16390</v>
      </c>
      <c r="BC7" s="19">
        <v>36120</v>
      </c>
      <c r="BD7" s="46">
        <v>0.75760000000000005</v>
      </c>
      <c r="BE7" s="9">
        <v>102</v>
      </c>
      <c r="BF7" s="19">
        <v>95981</v>
      </c>
      <c r="BG7" s="19">
        <v>2811</v>
      </c>
      <c r="BH7" s="19">
        <v>22202</v>
      </c>
      <c r="BI7" s="46">
        <v>0.56999999999999995</v>
      </c>
      <c r="BJ7" s="9">
        <v>3</v>
      </c>
      <c r="BK7" s="19">
        <v>3.45</v>
      </c>
      <c r="BL7" s="19">
        <v>60.56</v>
      </c>
      <c r="BM7" s="19"/>
      <c r="BN7" s="46">
        <v>0.08</v>
      </c>
      <c r="BO7" s="9">
        <v>8</v>
      </c>
      <c r="BP7" s="19">
        <v>1840</v>
      </c>
      <c r="BQ7" s="19">
        <v>151</v>
      </c>
      <c r="BR7" s="19">
        <v>25</v>
      </c>
      <c r="BS7" s="46">
        <v>0.83799999999999997</v>
      </c>
      <c r="BT7" s="9">
        <v>7</v>
      </c>
      <c r="BU7" s="19">
        <v>724</v>
      </c>
      <c r="BV7" s="19">
        <v>28</v>
      </c>
      <c r="BW7" s="19">
        <v>2643</v>
      </c>
      <c r="BX7" s="46">
        <v>0.70350000000000001</v>
      </c>
      <c r="BY7" s="9">
        <v>4</v>
      </c>
      <c r="BZ7" s="19">
        <v>2984.89</v>
      </c>
      <c r="CA7" s="19">
        <v>16.88</v>
      </c>
      <c r="CB7" s="46">
        <v>1</v>
      </c>
      <c r="CC7" s="46"/>
      <c r="CD7" s="19"/>
      <c r="CE7" s="68">
        <v>-157.30000000000001</v>
      </c>
      <c r="CF7" s="69">
        <v>901.94</v>
      </c>
      <c r="CG7" s="70">
        <v>702.58</v>
      </c>
      <c r="CH7" s="46">
        <v>1.0500000000000001E-2</v>
      </c>
      <c r="CI7" s="19">
        <v>137</v>
      </c>
      <c r="CJ7" s="19">
        <v>31061.03</v>
      </c>
      <c r="CK7" s="19">
        <v>3599.55</v>
      </c>
      <c r="CL7" s="19">
        <v>30135.439999999999</v>
      </c>
      <c r="CM7" s="46">
        <v>0.77200000000000002</v>
      </c>
      <c r="CN7" s="19"/>
      <c r="CO7" s="19">
        <v>708.34</v>
      </c>
      <c r="CP7" s="19">
        <v>128.58000000000001</v>
      </c>
      <c r="CQ7" s="19"/>
      <c r="CR7" s="46"/>
      <c r="CS7" s="9">
        <v>4</v>
      </c>
      <c r="CT7" s="80">
        <v>431.51</v>
      </c>
      <c r="CU7" s="80">
        <v>1040.02</v>
      </c>
      <c r="CV7" s="80">
        <v>136.44999999999999</v>
      </c>
      <c r="CW7" s="46">
        <v>0.92759999999999998</v>
      </c>
      <c r="CX7" s="9">
        <v>106</v>
      </c>
      <c r="CY7" s="19">
        <v>15111.75</v>
      </c>
      <c r="CZ7" s="19">
        <v>331.11</v>
      </c>
      <c r="DA7" s="19">
        <v>5418.66</v>
      </c>
      <c r="DB7" s="46">
        <v>0.91549999999999998</v>
      </c>
      <c r="DC7" s="9">
        <v>2</v>
      </c>
      <c r="DD7" s="80">
        <v>19747</v>
      </c>
      <c r="DE7" s="80">
        <v>118.2</v>
      </c>
      <c r="DF7" s="80">
        <v>16.600000000000001</v>
      </c>
      <c r="DG7" s="46">
        <v>0.99980000000000002</v>
      </c>
      <c r="DH7" s="9">
        <v>17</v>
      </c>
      <c r="DI7" s="80">
        <v>2746.7</v>
      </c>
      <c r="DJ7" s="80">
        <v>696.74</v>
      </c>
      <c r="DK7" s="80">
        <v>1294.8699999999999</v>
      </c>
      <c r="DL7" s="46">
        <v>0.1666</v>
      </c>
      <c r="DM7" s="19">
        <v>83</v>
      </c>
      <c r="DN7" s="80">
        <v>17028.62</v>
      </c>
      <c r="DO7" s="80">
        <v>2259.62</v>
      </c>
      <c r="DP7" s="80">
        <v>448.58</v>
      </c>
      <c r="DQ7" s="46">
        <v>0.2046</v>
      </c>
      <c r="DR7" s="9">
        <v>7</v>
      </c>
      <c r="DS7" s="19">
        <v>9625.23</v>
      </c>
      <c r="DT7" s="19">
        <v>37.65</v>
      </c>
      <c r="DU7" s="19"/>
      <c r="DV7" s="46">
        <v>0.44679999999999997</v>
      </c>
      <c r="DW7" s="19"/>
      <c r="DX7" s="9"/>
      <c r="DY7" s="9"/>
      <c r="DZ7" s="19"/>
      <c r="EA7" s="46"/>
      <c r="EB7" s="9">
        <v>84</v>
      </c>
      <c r="EC7" s="9">
        <v>11349</v>
      </c>
      <c r="ED7" s="9">
        <v>1576</v>
      </c>
      <c r="EE7" s="9">
        <v>1881</v>
      </c>
      <c r="EF7" s="46">
        <v>0.73580000000000001</v>
      </c>
      <c r="EG7" s="9">
        <v>249</v>
      </c>
      <c r="EH7" s="19">
        <v>114.09</v>
      </c>
      <c r="EI7" s="19">
        <v>123.27</v>
      </c>
      <c r="EJ7" s="19">
        <v>936.6</v>
      </c>
      <c r="EK7" s="46">
        <v>0.3982</v>
      </c>
      <c r="EL7" s="9">
        <v>7</v>
      </c>
      <c r="EM7" s="80">
        <v>92</v>
      </c>
      <c r="EN7" s="80">
        <v>63</v>
      </c>
      <c r="EO7" s="80">
        <v>17</v>
      </c>
      <c r="EP7" s="46">
        <v>2.8E-3</v>
      </c>
    </row>
    <row r="8" spans="1:146" x14ac:dyDescent="0.25">
      <c r="A8" s="19" t="s">
        <v>182</v>
      </c>
      <c r="B8" s="19">
        <v>1</v>
      </c>
      <c r="C8" s="19">
        <v>270.20999999999998</v>
      </c>
      <c r="D8" s="19"/>
      <c r="E8" s="19"/>
      <c r="F8" s="46">
        <v>0.95730000000000004</v>
      </c>
      <c r="G8" s="9"/>
      <c r="H8" s="19"/>
      <c r="I8" s="19"/>
      <c r="J8" s="19"/>
      <c r="K8" s="19"/>
      <c r="L8" s="9">
        <v>2</v>
      </c>
      <c r="M8" s="19">
        <v>18698</v>
      </c>
      <c r="N8" s="19">
        <v>165</v>
      </c>
      <c r="O8" s="19"/>
      <c r="P8" s="46">
        <v>0.82</v>
      </c>
      <c r="Q8" s="9">
        <v>32</v>
      </c>
      <c r="R8" s="19"/>
      <c r="S8" s="19"/>
      <c r="T8" s="19">
        <v>8150</v>
      </c>
      <c r="U8" s="74">
        <v>0.14000000000000001</v>
      </c>
      <c r="V8" s="9">
        <v>6</v>
      </c>
      <c r="W8" s="19">
        <v>135.5</v>
      </c>
      <c r="X8" s="19">
        <v>77.7</v>
      </c>
      <c r="Y8" s="76"/>
      <c r="Z8" s="46">
        <v>4.58E-2</v>
      </c>
      <c r="AA8" s="9"/>
      <c r="AB8" s="19"/>
      <c r="AC8" s="19"/>
      <c r="AD8" s="19"/>
      <c r="AE8" s="46"/>
      <c r="AF8" s="9"/>
      <c r="AG8" s="19"/>
      <c r="AH8" s="19"/>
      <c r="AI8" s="19"/>
      <c r="AJ8" s="46"/>
      <c r="AK8" s="9">
        <v>3</v>
      </c>
      <c r="AL8" s="19">
        <v>5998.75</v>
      </c>
      <c r="AM8" s="19"/>
      <c r="AN8" s="19"/>
      <c r="AO8" s="46">
        <v>0.51319999999999999</v>
      </c>
      <c r="AP8" s="9">
        <v>10</v>
      </c>
      <c r="AQ8" s="19">
        <v>15176.89</v>
      </c>
      <c r="AR8" s="19">
        <v>609.49</v>
      </c>
      <c r="AS8" s="19">
        <v>789.68</v>
      </c>
      <c r="AT8" s="46">
        <v>0.65849999999999997</v>
      </c>
      <c r="AU8" s="9">
        <v>4</v>
      </c>
      <c r="AV8" s="9">
        <v>21</v>
      </c>
      <c r="AW8" s="9"/>
      <c r="AX8" s="9"/>
      <c r="AY8" s="88">
        <v>0.01</v>
      </c>
      <c r="AZ8" s="9">
        <v>9</v>
      </c>
      <c r="BA8" s="19">
        <v>501</v>
      </c>
      <c r="BB8" s="19">
        <v>53</v>
      </c>
      <c r="BC8" s="19">
        <v>90</v>
      </c>
      <c r="BD8" s="46">
        <v>1.5E-3</v>
      </c>
      <c r="BE8" s="9">
        <v>23</v>
      </c>
      <c r="BF8" s="19">
        <v>2919</v>
      </c>
      <c r="BG8" s="19">
        <v>441</v>
      </c>
      <c r="BH8" s="19">
        <v>271</v>
      </c>
      <c r="BI8" s="46">
        <v>0.02</v>
      </c>
      <c r="BJ8" s="9">
        <v>2</v>
      </c>
      <c r="BK8" s="19">
        <v>581.78</v>
      </c>
      <c r="BL8" s="19">
        <v>135.52000000000001</v>
      </c>
      <c r="BM8" s="19">
        <v>15.37</v>
      </c>
      <c r="BN8" s="46">
        <v>0.9</v>
      </c>
      <c r="BO8" s="9">
        <v>1</v>
      </c>
      <c r="BP8" s="19">
        <v>1</v>
      </c>
      <c r="BQ8" s="19"/>
      <c r="BR8" s="19"/>
      <c r="BS8" s="46">
        <v>2.0000000000000001E-4</v>
      </c>
      <c r="BT8" s="9">
        <v>4</v>
      </c>
      <c r="BU8" s="19">
        <v>1347</v>
      </c>
      <c r="BV8" s="19">
        <v>84</v>
      </c>
      <c r="BW8" s="19"/>
      <c r="BX8" s="46">
        <v>0.29649999999999999</v>
      </c>
      <c r="BY8" s="9"/>
      <c r="BZ8" s="19"/>
      <c r="CA8" s="19"/>
      <c r="CB8" s="46"/>
      <c r="CC8" s="46"/>
      <c r="CD8" s="19"/>
      <c r="CE8" s="68">
        <v>105429.08</v>
      </c>
      <c r="CF8" s="69">
        <v>1223.76</v>
      </c>
      <c r="CG8" s="70">
        <v>28825.45</v>
      </c>
      <c r="CH8" s="46">
        <v>0.98180000000000001</v>
      </c>
      <c r="CI8" s="19">
        <v>81</v>
      </c>
      <c r="CJ8" s="19">
        <v>6933.68</v>
      </c>
      <c r="CK8" s="19">
        <v>1982.45</v>
      </c>
      <c r="CL8" s="19">
        <v>4317.9399999999996</v>
      </c>
      <c r="CM8" s="46">
        <v>0.15770000000000001</v>
      </c>
      <c r="CN8" s="19"/>
      <c r="CO8" s="19">
        <v>440.43</v>
      </c>
      <c r="CP8" s="19">
        <v>137.24</v>
      </c>
      <c r="CQ8" s="19"/>
      <c r="CR8" s="46"/>
      <c r="CS8" s="9"/>
      <c r="CT8" s="19"/>
      <c r="CU8" s="19"/>
      <c r="CV8" s="19"/>
      <c r="CW8" s="46"/>
      <c r="CX8" s="9">
        <v>14</v>
      </c>
      <c r="CY8" s="19">
        <v>667.65</v>
      </c>
      <c r="CZ8" s="19">
        <v>36.36</v>
      </c>
      <c r="DA8" s="19">
        <v>-3038.15</v>
      </c>
      <c r="DB8" s="46">
        <v>-0.1024</v>
      </c>
      <c r="DC8" s="9">
        <v>1</v>
      </c>
      <c r="DD8" s="19"/>
      <c r="DE8" s="19"/>
      <c r="DF8" s="19"/>
      <c r="DG8" s="46"/>
      <c r="DH8" s="9">
        <v>9</v>
      </c>
      <c r="DI8" s="80">
        <v>13115.91</v>
      </c>
      <c r="DJ8" s="80">
        <v>568</v>
      </c>
      <c r="DK8" s="80">
        <v>175.84</v>
      </c>
      <c r="DL8" s="46">
        <v>0.4874</v>
      </c>
      <c r="DM8" s="19">
        <v>13</v>
      </c>
      <c r="DN8" s="80">
        <v>63408.05</v>
      </c>
      <c r="DO8" s="80">
        <v>3579.82</v>
      </c>
      <c r="DP8" s="80">
        <v>2253</v>
      </c>
      <c r="DQ8" s="80">
        <v>0.71760000000000002</v>
      </c>
      <c r="DR8" s="9">
        <v>8</v>
      </c>
      <c r="DS8" s="19">
        <v>556.63</v>
      </c>
      <c r="DT8" s="19">
        <v>254.48</v>
      </c>
      <c r="DU8" s="19">
        <v>175.81</v>
      </c>
      <c r="DV8" s="46">
        <v>4.5600000000000002E-2</v>
      </c>
      <c r="DW8" s="19"/>
      <c r="DX8" s="9">
        <v>1</v>
      </c>
      <c r="DY8" s="9">
        <v>67703</v>
      </c>
      <c r="DZ8" s="19"/>
      <c r="EA8" s="46">
        <v>1</v>
      </c>
      <c r="EB8" s="9"/>
      <c r="EC8" s="19"/>
      <c r="ED8" s="19"/>
      <c r="EE8" s="19"/>
      <c r="EF8" s="46"/>
      <c r="EG8" s="9">
        <v>26</v>
      </c>
      <c r="EH8" s="19">
        <v>60.45</v>
      </c>
      <c r="EI8" s="19">
        <v>32</v>
      </c>
      <c r="EJ8" s="19">
        <v>21.34</v>
      </c>
      <c r="EK8" s="46">
        <v>3.7699999999999997E-2</v>
      </c>
      <c r="EL8" s="9">
        <v>2</v>
      </c>
      <c r="EM8" s="80">
        <v>211</v>
      </c>
      <c r="EN8" s="80">
        <v>140</v>
      </c>
      <c r="EO8" s="80"/>
      <c r="EP8" s="46">
        <v>5.5999999999999999E-3</v>
      </c>
    </row>
    <row r="9" spans="1:146" x14ac:dyDescent="0.25">
      <c r="A9" s="19" t="s">
        <v>183</v>
      </c>
      <c r="B9" s="19"/>
      <c r="C9" s="19"/>
      <c r="D9" s="19"/>
      <c r="E9" s="19"/>
      <c r="F9" s="46"/>
      <c r="G9" s="9"/>
      <c r="H9" s="19"/>
      <c r="I9" s="19"/>
      <c r="J9" s="19"/>
      <c r="K9" s="19"/>
      <c r="L9" s="9"/>
      <c r="M9" s="19"/>
      <c r="N9" s="19"/>
      <c r="O9" s="19"/>
      <c r="P9" s="46"/>
      <c r="Q9" s="19"/>
      <c r="R9" s="19"/>
      <c r="S9" s="19"/>
      <c r="T9" s="19"/>
      <c r="U9" s="74"/>
      <c r="V9" s="9"/>
      <c r="W9" s="19"/>
      <c r="X9" s="19"/>
      <c r="Y9" s="76"/>
      <c r="Z9" s="74"/>
      <c r="AA9" s="9"/>
      <c r="AB9" s="19">
        <v>0.73</v>
      </c>
      <c r="AC9" s="19"/>
      <c r="AD9" s="19"/>
      <c r="AE9" s="46"/>
      <c r="AF9" s="9"/>
      <c r="AG9" s="19"/>
      <c r="AH9" s="19"/>
      <c r="AI9" s="19"/>
      <c r="AJ9" s="46"/>
      <c r="AK9" s="9">
        <v>2</v>
      </c>
      <c r="AL9" s="19">
        <v>1.04</v>
      </c>
      <c r="AM9" s="19"/>
      <c r="AN9" s="19"/>
      <c r="AO9" s="46">
        <v>1E-4</v>
      </c>
      <c r="AP9" s="9"/>
      <c r="AQ9" s="19"/>
      <c r="AR9" s="19"/>
      <c r="AS9" s="19"/>
      <c r="AT9" s="46"/>
      <c r="AU9" s="9"/>
      <c r="AV9" s="9"/>
      <c r="AW9" s="9"/>
      <c r="AX9" s="9"/>
      <c r="AY9" s="88"/>
      <c r="AZ9" s="9">
        <v>8</v>
      </c>
      <c r="BA9" s="19">
        <v>40</v>
      </c>
      <c r="BB9" s="19">
        <v>3</v>
      </c>
      <c r="BC9" s="19">
        <v>37</v>
      </c>
      <c r="BD9" s="46">
        <v>2.0000000000000001E-4</v>
      </c>
      <c r="BE9" s="9"/>
      <c r="BF9" s="19"/>
      <c r="BG9" s="19"/>
      <c r="BH9" s="19"/>
      <c r="BI9" s="46"/>
      <c r="BJ9" s="9"/>
      <c r="BK9" s="19"/>
      <c r="BL9" s="19"/>
      <c r="BM9" s="19"/>
      <c r="BN9" s="46"/>
      <c r="BO9" s="9"/>
      <c r="BP9" s="19"/>
      <c r="BQ9" s="19"/>
      <c r="BR9" s="19"/>
      <c r="BS9" s="46"/>
      <c r="BT9" s="9"/>
      <c r="BU9" s="19"/>
      <c r="BV9" s="19"/>
      <c r="BW9" s="19"/>
      <c r="BX9" s="46"/>
      <c r="BY9" s="9"/>
      <c r="BZ9" s="19"/>
      <c r="CA9" s="19"/>
      <c r="CB9" s="46"/>
      <c r="CC9" s="46"/>
      <c r="CD9" s="19"/>
      <c r="CE9" s="68">
        <v>-148.65</v>
      </c>
      <c r="CF9" s="69">
        <v>366.46</v>
      </c>
      <c r="CG9" s="70">
        <v>91.44</v>
      </c>
      <c r="CH9" s="46">
        <v>2.2000000000000001E-3</v>
      </c>
      <c r="CI9" s="19"/>
      <c r="CJ9" s="19"/>
      <c r="CK9" s="19"/>
      <c r="CL9" s="19"/>
      <c r="CM9" s="46"/>
      <c r="CN9" s="19"/>
      <c r="CO9" s="19">
        <v>649.20000000000005</v>
      </c>
      <c r="CP9" s="19">
        <f>9.58+13.19</f>
        <v>22.77</v>
      </c>
      <c r="CQ9" s="19"/>
      <c r="CR9" s="46"/>
      <c r="CS9" s="9"/>
      <c r="CT9" s="19"/>
      <c r="CU9" s="19"/>
      <c r="CV9" s="19"/>
      <c r="CW9" s="46"/>
      <c r="CX9" s="9">
        <v>3</v>
      </c>
      <c r="CY9" s="19">
        <v>3.24</v>
      </c>
      <c r="CZ9" s="19">
        <v>0.81</v>
      </c>
      <c r="DA9" s="19">
        <v>4.5999999999999996</v>
      </c>
      <c r="DB9" s="46">
        <v>4.0000000000000002E-4</v>
      </c>
      <c r="DC9" s="9">
        <v>1</v>
      </c>
      <c r="DD9" s="19"/>
      <c r="DE9" s="19"/>
      <c r="DF9" s="19">
        <v>4.2</v>
      </c>
      <c r="DG9" s="46">
        <v>2.0000000000000001E-4</v>
      </c>
      <c r="DH9" s="9"/>
      <c r="DI9" s="19"/>
      <c r="DJ9" s="19"/>
      <c r="DK9" s="19"/>
      <c r="DL9" s="19"/>
      <c r="DM9" s="19"/>
      <c r="DN9" s="19"/>
      <c r="DO9" s="19"/>
      <c r="DP9" s="19"/>
      <c r="DQ9" s="19"/>
      <c r="DR9" s="9"/>
      <c r="DS9" s="19"/>
      <c r="DT9" s="19"/>
      <c r="DU9" s="19"/>
      <c r="DV9" s="46"/>
      <c r="DW9" s="19"/>
      <c r="DX9" s="9"/>
      <c r="DY9" s="9"/>
      <c r="DZ9" s="19"/>
      <c r="EA9" s="46"/>
      <c r="EB9" s="9"/>
      <c r="EC9" s="19"/>
      <c r="ED9" s="19"/>
      <c r="EE9" s="19"/>
      <c r="EF9" s="46"/>
      <c r="EG9" s="9">
        <v>9</v>
      </c>
      <c r="EH9" s="19">
        <v>30.51</v>
      </c>
      <c r="EI9" s="19">
        <v>4.8099999999999996</v>
      </c>
      <c r="EJ9" s="19">
        <v>1.35</v>
      </c>
      <c r="EK9" s="46">
        <v>1.2200000000000001E-2</v>
      </c>
      <c r="EL9" s="9">
        <v>9</v>
      </c>
      <c r="EM9" s="80">
        <v>1580</v>
      </c>
      <c r="EN9" s="80">
        <v>465</v>
      </c>
      <c r="EO9" s="80">
        <v>37</v>
      </c>
      <c r="EP9" s="46">
        <v>3.3300000000000003E-2</v>
      </c>
    </row>
    <row r="10" spans="1:146" ht="30" x14ac:dyDescent="0.25">
      <c r="A10" s="20" t="s">
        <v>184</v>
      </c>
      <c r="B10" s="19"/>
      <c r="C10" s="19"/>
      <c r="D10" s="19"/>
      <c r="E10" s="19"/>
      <c r="F10" s="46"/>
      <c r="G10" s="9"/>
      <c r="H10" s="19"/>
      <c r="I10" s="19"/>
      <c r="J10" s="19"/>
      <c r="K10" s="19"/>
      <c r="L10" s="9"/>
      <c r="M10" s="19"/>
      <c r="N10" s="19"/>
      <c r="O10" s="19"/>
      <c r="P10" s="46"/>
      <c r="Q10" s="19"/>
      <c r="R10" s="19"/>
      <c r="S10" s="19"/>
      <c r="T10" s="19"/>
      <c r="U10" s="74"/>
      <c r="V10" s="9">
        <v>13</v>
      </c>
      <c r="W10" s="19">
        <v>1974.69</v>
      </c>
      <c r="X10" s="70">
        <v>90.25</v>
      </c>
      <c r="Y10" s="77">
        <v>119.26</v>
      </c>
      <c r="Z10" s="43">
        <v>0.46920000000000001</v>
      </c>
      <c r="AA10" s="9"/>
      <c r="AB10" s="19"/>
      <c r="AC10" s="19"/>
      <c r="AD10" s="19"/>
      <c r="AE10" s="46"/>
      <c r="AF10" s="9"/>
      <c r="AG10" s="19"/>
      <c r="AH10" s="19"/>
      <c r="AI10" s="19"/>
      <c r="AJ10" s="46"/>
      <c r="AK10" s="9"/>
      <c r="AL10" s="19"/>
      <c r="AM10" s="19"/>
      <c r="AN10" s="19"/>
      <c r="AO10" s="46"/>
      <c r="AP10" s="9"/>
      <c r="AQ10" s="19"/>
      <c r="AR10" s="19"/>
      <c r="AS10" s="19"/>
      <c r="AT10" s="46"/>
      <c r="AU10" s="9"/>
      <c r="AV10" s="9"/>
      <c r="AW10" s="9"/>
      <c r="AX10" s="9"/>
      <c r="AY10" s="88"/>
      <c r="AZ10" s="9"/>
      <c r="BA10" s="19"/>
      <c r="BB10" s="19"/>
      <c r="BC10" s="19"/>
      <c r="BD10" s="46"/>
      <c r="BE10" s="9"/>
      <c r="BF10" s="19"/>
      <c r="BG10" s="19"/>
      <c r="BH10" s="19"/>
      <c r="BI10" s="46"/>
      <c r="BJ10" s="9"/>
      <c r="BK10" s="19"/>
      <c r="BL10" s="19"/>
      <c r="BM10" s="19"/>
      <c r="BN10" s="46"/>
      <c r="BO10" s="9"/>
      <c r="BP10" s="19"/>
      <c r="BQ10" s="19"/>
      <c r="BR10" s="19"/>
      <c r="BS10" s="46"/>
      <c r="BT10" s="9"/>
      <c r="BU10" s="19"/>
      <c r="BV10" s="19"/>
      <c r="BW10" s="19"/>
      <c r="BX10" s="46"/>
      <c r="BY10" s="9"/>
      <c r="BZ10" s="19"/>
      <c r="CA10" s="19"/>
      <c r="CB10" s="46"/>
      <c r="CC10" s="46"/>
      <c r="CD10" s="19"/>
      <c r="CE10" s="19"/>
      <c r="CF10" s="19"/>
      <c r="CG10" s="19"/>
      <c r="CH10" s="19"/>
      <c r="CI10" s="19"/>
      <c r="CJ10" s="19"/>
      <c r="CK10" s="19"/>
      <c r="CL10" s="19"/>
      <c r="CM10" s="46"/>
      <c r="CN10" s="19"/>
      <c r="CO10" s="19"/>
      <c r="CP10" s="19"/>
      <c r="CQ10" s="19"/>
      <c r="CR10" s="46"/>
      <c r="CS10" s="9"/>
      <c r="CT10" s="19"/>
      <c r="CU10" s="19"/>
      <c r="CV10" s="19"/>
      <c r="CW10" s="46"/>
      <c r="CX10" s="9"/>
      <c r="CY10" s="19"/>
      <c r="CZ10" s="19"/>
      <c r="DA10" s="19"/>
      <c r="DB10" s="46"/>
      <c r="DC10" s="9"/>
      <c r="DD10" s="19"/>
      <c r="DE10" s="19"/>
      <c r="DF10" s="19"/>
      <c r="DG10" s="46"/>
      <c r="DH10" s="9"/>
      <c r="DI10" s="19"/>
      <c r="DJ10" s="19"/>
      <c r="DK10" s="19"/>
      <c r="DL10" s="19"/>
      <c r="DM10" s="19"/>
      <c r="DN10" s="19"/>
      <c r="DO10" s="19"/>
      <c r="DP10" s="19"/>
      <c r="DQ10" s="19"/>
      <c r="DR10" s="9"/>
      <c r="DS10" s="19"/>
      <c r="DT10" s="19"/>
      <c r="DU10" s="19"/>
      <c r="DV10" s="46"/>
      <c r="DW10" s="19"/>
      <c r="DX10" s="9"/>
      <c r="DY10" s="9"/>
      <c r="DZ10" s="19"/>
      <c r="EA10" s="46"/>
      <c r="EB10" s="9"/>
      <c r="EC10" s="19"/>
      <c r="ED10" s="19"/>
      <c r="EE10" s="19"/>
      <c r="EF10" s="46"/>
      <c r="EG10" s="9">
        <v>11</v>
      </c>
      <c r="EH10" s="19">
        <v>1072.3800000000001</v>
      </c>
      <c r="EI10" s="19">
        <v>102.87</v>
      </c>
      <c r="EJ10" s="19">
        <v>408.63</v>
      </c>
      <c r="EK10" s="46">
        <v>0.52510000000000001</v>
      </c>
      <c r="EL10" s="19"/>
      <c r="EM10" s="19"/>
      <c r="EN10" s="19"/>
      <c r="EO10" s="19"/>
      <c r="EP10" s="46"/>
    </row>
    <row r="11" spans="1:146" x14ac:dyDescent="0.25">
      <c r="A11" s="20" t="s">
        <v>185</v>
      </c>
      <c r="B11" s="19"/>
      <c r="C11" s="19"/>
      <c r="D11" s="19"/>
      <c r="E11" s="19"/>
      <c r="F11" s="46"/>
      <c r="G11" s="9"/>
      <c r="H11" s="19"/>
      <c r="I11" s="19"/>
      <c r="J11" s="19"/>
      <c r="K11" s="19"/>
      <c r="L11" s="9"/>
      <c r="M11" s="19"/>
      <c r="N11" s="19"/>
      <c r="O11" s="19"/>
      <c r="P11" s="46"/>
      <c r="Q11" s="19"/>
      <c r="R11" s="19"/>
      <c r="S11" s="19"/>
      <c r="T11" s="19"/>
      <c r="U11" s="74"/>
      <c r="V11" s="9"/>
      <c r="W11" s="19"/>
      <c r="X11" s="19"/>
      <c r="Y11" s="76"/>
      <c r="Z11" s="74"/>
      <c r="AA11" s="9"/>
      <c r="AB11" s="19"/>
      <c r="AC11" s="19"/>
      <c r="AD11" s="19"/>
      <c r="AE11" s="46"/>
      <c r="AF11" s="9"/>
      <c r="AG11" s="19"/>
      <c r="AH11" s="19"/>
      <c r="AI11" s="19"/>
      <c r="AJ11" s="46"/>
      <c r="AK11" s="9"/>
      <c r="AL11" s="19"/>
      <c r="AM11" s="19"/>
      <c r="AN11" s="19"/>
      <c r="AO11" s="46"/>
      <c r="AP11" s="9"/>
      <c r="AQ11" s="19"/>
      <c r="AR11" s="19"/>
      <c r="AS11" s="19"/>
      <c r="AT11" s="46"/>
      <c r="AU11" s="9"/>
      <c r="AV11" s="9"/>
      <c r="AW11" s="9"/>
      <c r="AX11" s="9"/>
      <c r="AY11" s="88"/>
      <c r="AZ11" s="9">
        <v>14</v>
      </c>
      <c r="BA11" s="19"/>
      <c r="BB11" s="19"/>
      <c r="BC11" s="19">
        <v>15635</v>
      </c>
      <c r="BD11" s="46">
        <v>3.5799999999999998E-2</v>
      </c>
      <c r="BE11" s="9"/>
      <c r="BF11" s="19"/>
      <c r="BG11" s="19"/>
      <c r="BH11" s="19"/>
      <c r="BI11" s="46"/>
      <c r="BJ11" s="9"/>
      <c r="BK11" s="19"/>
      <c r="BL11" s="19"/>
      <c r="BM11" s="19"/>
      <c r="BN11" s="46"/>
      <c r="BO11" s="9"/>
      <c r="BP11" s="19"/>
      <c r="BQ11" s="19"/>
      <c r="BR11" s="19"/>
      <c r="BS11" s="46"/>
      <c r="BT11" s="9"/>
      <c r="BU11" s="19"/>
      <c r="BV11" s="19"/>
      <c r="BW11" s="19"/>
      <c r="BX11" s="46"/>
      <c r="BY11" s="9"/>
      <c r="BZ11" s="19"/>
      <c r="CA11" s="19"/>
      <c r="CB11" s="46"/>
      <c r="CC11" s="46"/>
      <c r="CD11" s="19"/>
      <c r="CE11" s="19"/>
      <c r="CF11" s="19"/>
      <c r="CG11" s="19"/>
      <c r="CH11" s="19"/>
      <c r="CI11" s="19"/>
      <c r="CJ11" s="19"/>
      <c r="CK11" s="19"/>
      <c r="CL11" s="19"/>
      <c r="CM11" s="46"/>
      <c r="CN11" s="19"/>
      <c r="CO11" s="19">
        <v>46442.239999999998</v>
      </c>
      <c r="CP11" s="19"/>
      <c r="CQ11" s="19"/>
      <c r="CR11" s="46"/>
      <c r="CS11" s="9"/>
      <c r="CT11" s="19"/>
      <c r="CU11" s="19"/>
      <c r="CV11" s="19"/>
      <c r="CW11" s="46"/>
      <c r="CX11" s="9"/>
      <c r="CY11" s="19"/>
      <c r="CZ11" s="19"/>
      <c r="DA11" s="19"/>
      <c r="DB11" s="46"/>
      <c r="DC11" s="9"/>
      <c r="DD11" s="19"/>
      <c r="DE11" s="19"/>
      <c r="DF11" s="19"/>
      <c r="DG11" s="46"/>
      <c r="DH11" s="9"/>
      <c r="DI11" s="19"/>
      <c r="DJ11" s="19"/>
      <c r="DK11" s="19"/>
      <c r="DL11" s="19"/>
      <c r="DM11" s="19"/>
      <c r="DN11" s="19"/>
      <c r="DO11" s="19"/>
      <c r="DP11" s="19"/>
      <c r="DQ11" s="19"/>
      <c r="DR11" s="9"/>
      <c r="DS11" s="19"/>
      <c r="DT11" s="19"/>
      <c r="DU11" s="19"/>
      <c r="DV11" s="46"/>
      <c r="DW11" s="19"/>
      <c r="DX11" s="9"/>
      <c r="DY11" s="9"/>
      <c r="DZ11" s="19"/>
      <c r="EA11" s="46"/>
      <c r="EB11" s="9"/>
      <c r="EC11" s="19"/>
      <c r="ED11" s="19"/>
      <c r="EE11" s="19"/>
      <c r="EF11" s="46"/>
      <c r="EG11" s="9"/>
      <c r="EH11" s="19"/>
      <c r="EI11" s="19"/>
      <c r="EJ11" s="19"/>
      <c r="EK11" s="46"/>
      <c r="EL11" s="19"/>
      <c r="EM11" s="19"/>
      <c r="EN11" s="19"/>
      <c r="EO11" s="19"/>
      <c r="EP11" s="46"/>
    </row>
    <row r="12" spans="1:146" x14ac:dyDescent="0.25">
      <c r="A12" s="19" t="s">
        <v>186</v>
      </c>
      <c r="B12" s="19"/>
      <c r="C12" s="19"/>
      <c r="D12" s="19"/>
      <c r="E12" s="19"/>
      <c r="F12" s="46"/>
      <c r="G12" s="9">
        <v>5</v>
      </c>
      <c r="H12" s="19">
        <v>382882.96</v>
      </c>
      <c r="I12" s="19">
        <v>2124.8200000000002</v>
      </c>
      <c r="J12" s="19"/>
      <c r="K12" s="46">
        <v>0.7389</v>
      </c>
      <c r="L12" s="9"/>
      <c r="M12" s="19"/>
      <c r="N12" s="19"/>
      <c r="O12" s="19"/>
      <c r="P12" s="46"/>
      <c r="Q12" s="19"/>
      <c r="R12" s="19"/>
      <c r="S12" s="19"/>
      <c r="T12" s="19"/>
      <c r="U12" s="74"/>
      <c r="V12" s="9"/>
      <c r="W12" s="19"/>
      <c r="X12" s="19"/>
      <c r="Y12" s="19"/>
      <c r="Z12" s="74"/>
      <c r="AA12" s="9"/>
      <c r="AB12" s="19">
        <v>10131.01</v>
      </c>
      <c r="AC12" s="19">
        <v>18.04</v>
      </c>
      <c r="AD12" s="19">
        <v>242</v>
      </c>
      <c r="AE12" s="46">
        <v>0.37269999999999998</v>
      </c>
      <c r="AF12" s="9"/>
      <c r="AG12" s="19"/>
      <c r="AH12" s="19"/>
      <c r="AI12" s="19"/>
      <c r="AJ12" s="46"/>
      <c r="AK12" s="9"/>
      <c r="AL12" s="19"/>
      <c r="AM12" s="19"/>
      <c r="AN12" s="19"/>
      <c r="AO12" s="46"/>
      <c r="AP12" s="9">
        <v>10</v>
      </c>
      <c r="AQ12" s="19"/>
      <c r="AR12" s="19"/>
      <c r="AS12" s="19">
        <v>870.77</v>
      </c>
      <c r="AT12" s="46">
        <v>3.4599999999999999E-2</v>
      </c>
      <c r="AU12" s="9">
        <v>5</v>
      </c>
      <c r="AV12" s="9"/>
      <c r="AW12" s="9"/>
      <c r="AX12" s="9">
        <v>27</v>
      </c>
      <c r="AY12" s="88">
        <v>0.01</v>
      </c>
      <c r="AZ12" s="9"/>
      <c r="BA12" s="19"/>
      <c r="BB12" s="19"/>
      <c r="BC12" s="19"/>
      <c r="BD12" s="46"/>
      <c r="BE12" s="9">
        <v>13</v>
      </c>
      <c r="BF12" s="19"/>
      <c r="BG12" s="19"/>
      <c r="BH12" s="19">
        <v>2451</v>
      </c>
      <c r="BI12" s="46">
        <v>0.01</v>
      </c>
      <c r="BJ12" s="9">
        <v>2</v>
      </c>
      <c r="BK12" s="19"/>
      <c r="BL12" s="19"/>
      <c r="BM12" s="19">
        <v>17.12</v>
      </c>
      <c r="BN12" s="46">
        <v>0.02</v>
      </c>
      <c r="BO12" s="9"/>
      <c r="BP12" s="19"/>
      <c r="BQ12" s="19"/>
      <c r="BR12" s="19"/>
      <c r="BS12" s="46"/>
      <c r="BT12" s="9"/>
      <c r="BU12" s="19"/>
      <c r="BV12" s="19"/>
      <c r="BW12" s="19"/>
      <c r="BX12" s="46"/>
      <c r="BY12" s="9"/>
      <c r="BZ12" s="19"/>
      <c r="CA12" s="19"/>
      <c r="CB12" s="46"/>
      <c r="CC12" s="46"/>
      <c r="CD12" s="19"/>
      <c r="CE12" s="19"/>
      <c r="CF12" s="19"/>
      <c r="CG12" s="19"/>
      <c r="CH12" s="19"/>
      <c r="CI12" s="19"/>
      <c r="CJ12" s="19"/>
      <c r="CK12" s="19"/>
      <c r="CL12" s="19"/>
      <c r="CM12" s="46"/>
      <c r="CN12" s="19"/>
      <c r="CO12" s="19"/>
      <c r="CP12" s="19"/>
      <c r="CQ12" s="19"/>
      <c r="CR12" s="46"/>
      <c r="CS12" s="9"/>
      <c r="CT12" s="19"/>
      <c r="CU12" s="19"/>
      <c r="CV12" s="19"/>
      <c r="CW12" s="46"/>
      <c r="CX12" s="9">
        <v>13</v>
      </c>
      <c r="CY12" s="19"/>
      <c r="CZ12" s="19"/>
      <c r="DA12" s="19">
        <v>869.37</v>
      </c>
      <c r="DB12" s="46">
        <v>3.8199999999999998E-2</v>
      </c>
      <c r="DC12" s="9"/>
      <c r="DD12" s="19"/>
      <c r="DE12" s="19"/>
      <c r="DF12" s="19"/>
      <c r="DG12" s="46"/>
      <c r="DH12" s="9"/>
      <c r="DI12" s="19"/>
      <c r="DJ12" s="19"/>
      <c r="DK12" s="19"/>
      <c r="DL12" s="19"/>
      <c r="DM12" s="19"/>
      <c r="DN12" s="19"/>
      <c r="DO12" s="19"/>
      <c r="DP12" s="19"/>
      <c r="DQ12" s="46"/>
      <c r="DR12" s="9"/>
      <c r="DS12" s="19"/>
      <c r="DT12" s="19"/>
      <c r="DU12" s="19"/>
      <c r="DV12" s="46"/>
      <c r="DW12" s="19"/>
      <c r="DX12" s="9"/>
      <c r="DY12" s="9"/>
      <c r="DZ12" s="19"/>
      <c r="EA12" s="46"/>
      <c r="EB12" s="9">
        <v>4</v>
      </c>
      <c r="EC12" s="19"/>
      <c r="ED12" s="19"/>
      <c r="EE12" s="9">
        <v>7</v>
      </c>
      <c r="EF12" s="46">
        <v>2.9999999999999997E-4</v>
      </c>
      <c r="EG12" s="9"/>
      <c r="EH12" s="19"/>
      <c r="EI12" s="19"/>
      <c r="EJ12" s="19"/>
      <c r="EK12" s="46"/>
      <c r="EL12" s="19"/>
      <c r="EM12" s="19"/>
      <c r="EN12" s="19"/>
      <c r="EO12" s="19"/>
      <c r="EP12" s="46"/>
    </row>
    <row r="13" spans="1:146" x14ac:dyDescent="0.25">
      <c r="A13" s="80" t="s">
        <v>294</v>
      </c>
      <c r="B13" s="80"/>
      <c r="C13" s="80"/>
      <c r="D13" s="80"/>
      <c r="E13" s="80"/>
      <c r="F13" s="46"/>
      <c r="G13" s="9"/>
      <c r="H13" s="80"/>
      <c r="I13" s="80"/>
      <c r="J13" s="80"/>
      <c r="K13" s="46"/>
      <c r="L13" s="9"/>
      <c r="M13" s="80"/>
      <c r="N13" s="80"/>
      <c r="O13" s="80"/>
      <c r="P13" s="46"/>
      <c r="Q13" s="80"/>
      <c r="R13" s="80"/>
      <c r="S13" s="80"/>
      <c r="T13" s="80"/>
      <c r="U13" s="74"/>
      <c r="V13" s="9"/>
      <c r="W13" s="80"/>
      <c r="X13" s="80"/>
      <c r="Y13" s="80"/>
      <c r="Z13" s="74"/>
      <c r="AA13" s="9"/>
      <c r="AB13" s="80"/>
      <c r="AC13" s="80"/>
      <c r="AD13" s="80"/>
      <c r="AE13" s="46"/>
      <c r="AF13" s="9"/>
      <c r="AG13" s="80"/>
      <c r="AH13" s="80"/>
      <c r="AI13" s="80"/>
      <c r="AJ13" s="46"/>
      <c r="AK13" s="9"/>
      <c r="AL13" s="80"/>
      <c r="AM13" s="80"/>
      <c r="AN13" s="80"/>
      <c r="AO13" s="46"/>
      <c r="AP13" s="9"/>
      <c r="AQ13" s="80"/>
      <c r="AR13" s="80"/>
      <c r="AS13" s="80"/>
      <c r="AT13" s="46"/>
      <c r="AU13" s="9"/>
      <c r="AV13" s="9"/>
      <c r="AW13" s="9"/>
      <c r="AX13" s="9"/>
      <c r="AY13" s="88"/>
      <c r="AZ13" s="9"/>
      <c r="BA13" s="80"/>
      <c r="BB13" s="80"/>
      <c r="BC13" s="80"/>
      <c r="BD13" s="46"/>
      <c r="BE13" s="9"/>
      <c r="BF13" s="80"/>
      <c r="BG13" s="80"/>
      <c r="BH13" s="80"/>
      <c r="BI13" s="46"/>
      <c r="BJ13" s="9"/>
      <c r="BK13" s="80"/>
      <c r="BL13" s="80"/>
      <c r="BM13" s="80"/>
      <c r="BN13" s="46"/>
      <c r="BO13" s="9"/>
      <c r="BP13" s="80"/>
      <c r="BQ13" s="80"/>
      <c r="BR13" s="80"/>
      <c r="BS13" s="46"/>
      <c r="BT13" s="9"/>
      <c r="BU13" s="80"/>
      <c r="BV13" s="80"/>
      <c r="BW13" s="80"/>
      <c r="BX13" s="46"/>
      <c r="BY13" s="9"/>
      <c r="BZ13" s="80"/>
      <c r="CA13" s="80"/>
      <c r="CB13" s="46"/>
      <c r="CC13" s="46"/>
      <c r="CD13" s="80"/>
      <c r="CE13" s="80"/>
      <c r="CF13" s="80"/>
      <c r="CG13" s="80"/>
      <c r="CH13" s="80"/>
      <c r="CI13" s="80"/>
      <c r="CJ13" s="80"/>
      <c r="CK13" s="80"/>
      <c r="CL13" s="80"/>
      <c r="CM13" s="46"/>
      <c r="CN13" s="80"/>
      <c r="CO13" s="80">
        <v>186.72</v>
      </c>
      <c r="CP13" s="80"/>
      <c r="CQ13" s="80"/>
      <c r="CR13" s="46"/>
      <c r="CS13" s="9"/>
      <c r="CT13" s="80"/>
      <c r="CU13" s="80"/>
      <c r="CV13" s="80"/>
      <c r="CW13" s="46"/>
      <c r="CX13" s="9"/>
      <c r="CY13" s="80"/>
      <c r="CZ13" s="80"/>
      <c r="DA13" s="80"/>
      <c r="DB13" s="46"/>
      <c r="DC13" s="9"/>
      <c r="DD13" s="80"/>
      <c r="DE13" s="80"/>
      <c r="DF13" s="80"/>
      <c r="DG13" s="46"/>
      <c r="DH13" s="9"/>
      <c r="DI13" s="80"/>
      <c r="DJ13" s="80"/>
      <c r="DK13" s="80"/>
      <c r="DL13" s="80"/>
      <c r="DM13" s="80"/>
      <c r="DN13" s="80"/>
      <c r="DO13" s="80"/>
      <c r="DP13" s="80"/>
      <c r="DQ13" s="46"/>
      <c r="DR13" s="9"/>
      <c r="DS13" s="80"/>
      <c r="DT13" s="80"/>
      <c r="DU13" s="80"/>
      <c r="DV13" s="46"/>
      <c r="DW13" s="80"/>
      <c r="DX13" s="9"/>
      <c r="DY13" s="9"/>
      <c r="DZ13" s="80"/>
      <c r="EA13" s="46"/>
      <c r="EB13" s="9"/>
      <c r="EC13" s="80"/>
      <c r="ED13" s="80"/>
      <c r="EE13" s="80"/>
      <c r="EF13" s="46"/>
      <c r="EG13" s="9"/>
      <c r="EH13" s="80"/>
      <c r="EI13" s="80"/>
      <c r="EJ13" s="80"/>
      <c r="EK13" s="46"/>
      <c r="EL13" s="80"/>
      <c r="EM13" s="80"/>
      <c r="EN13" s="80"/>
      <c r="EO13" s="80"/>
      <c r="EP13" s="46"/>
    </row>
    <row r="14" spans="1:146" x14ac:dyDescent="0.25">
      <c r="A14" s="19" t="s">
        <v>187</v>
      </c>
      <c r="B14" s="19"/>
      <c r="C14" s="19"/>
      <c r="D14" s="19"/>
      <c r="E14" s="19"/>
      <c r="F14" s="46"/>
      <c r="G14" s="9"/>
      <c r="H14" s="19"/>
      <c r="I14" s="19"/>
      <c r="J14" s="19"/>
      <c r="K14" s="19"/>
      <c r="L14" s="9"/>
      <c r="M14" s="19"/>
      <c r="N14" s="19"/>
      <c r="O14" s="19"/>
      <c r="P14" s="46"/>
      <c r="Q14" s="19"/>
      <c r="R14" s="19"/>
      <c r="S14" s="19"/>
      <c r="T14" s="19"/>
      <c r="U14" s="74"/>
      <c r="V14" s="9"/>
      <c r="W14" s="19"/>
      <c r="X14" s="19"/>
      <c r="Y14" s="19"/>
      <c r="Z14" s="74"/>
      <c r="AA14" s="9"/>
      <c r="AB14" s="19"/>
      <c r="AC14" s="19"/>
      <c r="AD14" s="19"/>
      <c r="AE14" s="46"/>
      <c r="AF14" s="9"/>
      <c r="AG14" s="19"/>
      <c r="AH14" s="19"/>
      <c r="AI14" s="19"/>
      <c r="AJ14" s="46"/>
      <c r="AK14" s="9"/>
      <c r="AL14" s="19"/>
      <c r="AM14" s="19"/>
      <c r="AN14" s="19"/>
      <c r="AO14" s="46"/>
      <c r="AP14" s="9"/>
      <c r="AQ14" s="19"/>
      <c r="AR14" s="19"/>
      <c r="AS14" s="19"/>
      <c r="AT14" s="46"/>
      <c r="AU14" s="9"/>
      <c r="AV14" s="9"/>
      <c r="AW14" s="9"/>
      <c r="AX14" s="9"/>
      <c r="AY14" s="88"/>
      <c r="AZ14" s="9"/>
      <c r="BA14" s="19"/>
      <c r="BB14" s="19"/>
      <c r="BC14" s="19"/>
      <c r="BD14" s="46"/>
      <c r="BE14" s="9"/>
      <c r="BF14" s="19"/>
      <c r="BG14" s="19"/>
      <c r="BH14" s="19"/>
      <c r="BI14" s="46"/>
      <c r="BJ14" s="9"/>
      <c r="BK14" s="19"/>
      <c r="BL14" s="19"/>
      <c r="BM14" s="19"/>
      <c r="BN14" s="46"/>
      <c r="BO14" s="9"/>
      <c r="BP14" s="19"/>
      <c r="BQ14" s="19"/>
      <c r="BR14" s="19"/>
      <c r="BS14" s="46"/>
      <c r="BT14" s="9"/>
      <c r="BU14" s="19"/>
      <c r="BV14" s="19"/>
      <c r="BW14" s="19"/>
      <c r="BX14" s="46"/>
      <c r="BY14" s="9"/>
      <c r="BZ14" s="19"/>
      <c r="CA14" s="19"/>
      <c r="CB14" s="46"/>
      <c r="CC14" s="46"/>
      <c r="CD14" s="19"/>
      <c r="CE14" s="19"/>
      <c r="CF14" s="19"/>
      <c r="CG14" s="19"/>
      <c r="CH14" s="19"/>
      <c r="CI14" s="19">
        <v>4</v>
      </c>
      <c r="CJ14" s="19">
        <v>1895.56</v>
      </c>
      <c r="CK14" s="19">
        <v>733</v>
      </c>
      <c r="CL14" s="19">
        <v>1398</v>
      </c>
      <c r="CM14" s="46">
        <v>4.8000000000000001E-2</v>
      </c>
      <c r="CN14" s="19"/>
      <c r="CO14" s="19">
        <v>23.3</v>
      </c>
      <c r="CP14" s="19">
        <v>2.38</v>
      </c>
      <c r="CQ14" s="19"/>
      <c r="CR14" s="46"/>
      <c r="CS14" s="9"/>
      <c r="CT14" s="19"/>
      <c r="CU14" s="19"/>
      <c r="CV14" s="19"/>
      <c r="CW14" s="46"/>
      <c r="CX14" s="9"/>
      <c r="CY14" s="19"/>
      <c r="CZ14" s="19"/>
      <c r="DA14" s="19"/>
      <c r="DB14" s="46"/>
      <c r="DC14" s="9"/>
      <c r="DD14" s="19"/>
      <c r="DE14" s="19"/>
      <c r="DF14" s="19"/>
      <c r="DG14" s="46"/>
      <c r="DH14" s="9"/>
      <c r="DI14" s="19"/>
      <c r="DJ14" s="19"/>
      <c r="DK14" s="19"/>
      <c r="DL14" s="19"/>
      <c r="DM14" s="19"/>
      <c r="DN14" s="19"/>
      <c r="DO14" s="19"/>
      <c r="DP14" s="19"/>
      <c r="DQ14" s="19"/>
      <c r="DR14" s="9"/>
      <c r="DS14" s="19"/>
      <c r="DT14" s="19"/>
      <c r="DU14" s="19"/>
      <c r="DV14" s="46"/>
      <c r="DW14" s="19"/>
      <c r="DX14" s="9"/>
      <c r="DY14" s="9"/>
      <c r="DZ14" s="19"/>
      <c r="EA14" s="46"/>
      <c r="EB14" s="9"/>
      <c r="EC14" s="19"/>
      <c r="ED14" s="19"/>
      <c r="EE14" s="19"/>
      <c r="EF14" s="46"/>
      <c r="EG14" s="9"/>
      <c r="EH14" s="19"/>
      <c r="EI14" s="19"/>
      <c r="EJ14" s="19"/>
      <c r="EK14" s="46"/>
      <c r="EL14" s="19"/>
      <c r="EM14" s="19"/>
      <c r="EN14" s="19"/>
      <c r="EO14" s="19"/>
      <c r="EP14" s="46"/>
    </row>
    <row r="15" spans="1:146" s="51" customFormat="1" x14ac:dyDescent="0.25">
      <c r="A15" s="21" t="s">
        <v>160</v>
      </c>
      <c r="B15" s="21">
        <f t="shared" ref="B15:P15" si="0">SUM(B5:B14)</f>
        <v>2</v>
      </c>
      <c r="C15" s="21">
        <f t="shared" si="0"/>
        <v>282.08999999999997</v>
      </c>
      <c r="D15" s="21">
        <f t="shared" si="0"/>
        <v>0</v>
      </c>
      <c r="E15" s="21">
        <f t="shared" si="0"/>
        <v>0.17</v>
      </c>
      <c r="F15" s="48">
        <f t="shared" si="0"/>
        <v>1</v>
      </c>
      <c r="G15" s="38">
        <f t="shared" si="0"/>
        <v>43</v>
      </c>
      <c r="H15" s="21">
        <f t="shared" si="0"/>
        <v>504291.14</v>
      </c>
      <c r="I15" s="21">
        <f t="shared" si="0"/>
        <v>16743.48</v>
      </c>
      <c r="J15" s="21">
        <f t="shared" si="0"/>
        <v>0</v>
      </c>
      <c r="K15" s="48">
        <f t="shared" si="0"/>
        <v>1</v>
      </c>
      <c r="L15" s="38">
        <f t="shared" si="0"/>
        <v>5</v>
      </c>
      <c r="M15" s="21">
        <f t="shared" si="0"/>
        <v>22909</v>
      </c>
      <c r="N15" s="21">
        <f t="shared" si="0"/>
        <v>200</v>
      </c>
      <c r="O15" s="21">
        <f t="shared" si="0"/>
        <v>0</v>
      </c>
      <c r="P15" s="48">
        <f t="shared" si="0"/>
        <v>1</v>
      </c>
      <c r="Q15" s="38">
        <f>SUM(Q5:Q14)</f>
        <v>125</v>
      </c>
      <c r="R15" s="21">
        <f t="shared" ref="R15:BN15" si="1">SUM(R5:R14)</f>
        <v>41798</v>
      </c>
      <c r="S15" s="21">
        <f t="shared" si="1"/>
        <v>1313</v>
      </c>
      <c r="T15" s="21">
        <f t="shared" si="1"/>
        <v>14704</v>
      </c>
      <c r="U15" s="75">
        <v>1</v>
      </c>
      <c r="V15" s="38">
        <f t="shared" si="1"/>
        <v>47</v>
      </c>
      <c r="W15" s="21">
        <f t="shared" si="1"/>
        <v>2799.16</v>
      </c>
      <c r="X15" s="21">
        <f t="shared" si="1"/>
        <v>451.25</v>
      </c>
      <c r="Y15" s="21">
        <f t="shared" si="1"/>
        <v>1404.47</v>
      </c>
      <c r="Z15" s="75">
        <v>1</v>
      </c>
      <c r="AA15" s="38">
        <f t="shared" si="1"/>
        <v>0</v>
      </c>
      <c r="AB15" s="21">
        <f t="shared" si="1"/>
        <v>26676.21</v>
      </c>
      <c r="AC15" s="21">
        <f t="shared" si="1"/>
        <v>45.099999999999994</v>
      </c>
      <c r="AD15" s="21">
        <f t="shared" si="1"/>
        <v>1158.6599999999999</v>
      </c>
      <c r="AE15" s="48">
        <f t="shared" si="1"/>
        <v>1</v>
      </c>
      <c r="AF15" s="38">
        <f t="shared" si="1"/>
        <v>2</v>
      </c>
      <c r="AG15" s="21">
        <f t="shared" si="1"/>
        <v>1364.28</v>
      </c>
      <c r="AH15" s="21">
        <f t="shared" si="1"/>
        <v>0</v>
      </c>
      <c r="AI15" s="21">
        <f t="shared" si="1"/>
        <v>4.0599999999999996</v>
      </c>
      <c r="AJ15" s="48">
        <f t="shared" si="1"/>
        <v>1</v>
      </c>
      <c r="AK15" s="38">
        <f t="shared" si="1"/>
        <v>10</v>
      </c>
      <c r="AL15" s="21">
        <f t="shared" si="1"/>
        <v>11689.67</v>
      </c>
      <c r="AM15" s="21">
        <f t="shared" si="1"/>
        <v>0</v>
      </c>
      <c r="AN15" s="21">
        <f t="shared" si="1"/>
        <v>0</v>
      </c>
      <c r="AO15" s="48">
        <f t="shared" si="1"/>
        <v>1</v>
      </c>
      <c r="AP15" s="38">
        <f t="shared" si="1"/>
        <v>70</v>
      </c>
      <c r="AQ15" s="21">
        <f t="shared" si="1"/>
        <v>20114.75</v>
      </c>
      <c r="AR15" s="21">
        <f t="shared" si="1"/>
        <v>958.3</v>
      </c>
      <c r="AS15" s="21">
        <f t="shared" si="1"/>
        <v>4098.4699999999993</v>
      </c>
      <c r="AT15" s="48">
        <f t="shared" si="1"/>
        <v>0.99990000000000001</v>
      </c>
      <c r="AU15" s="38">
        <f t="shared" si="1"/>
        <v>33</v>
      </c>
      <c r="AV15" s="38">
        <f t="shared" si="1"/>
        <v>2180</v>
      </c>
      <c r="AW15" s="38">
        <f t="shared" si="1"/>
        <v>92</v>
      </c>
      <c r="AX15" s="38">
        <f t="shared" si="1"/>
        <v>-1</v>
      </c>
      <c r="AY15" s="89">
        <f t="shared" si="1"/>
        <v>1</v>
      </c>
      <c r="AZ15" s="38">
        <f t="shared" si="1"/>
        <v>145</v>
      </c>
      <c r="BA15" s="21">
        <f t="shared" si="1"/>
        <v>354743</v>
      </c>
      <c r="BB15" s="21">
        <f t="shared" si="1"/>
        <v>19646</v>
      </c>
      <c r="BC15" s="21">
        <f t="shared" si="1"/>
        <v>62172</v>
      </c>
      <c r="BD15" s="48">
        <f t="shared" si="1"/>
        <v>1</v>
      </c>
      <c r="BE15" s="38">
        <f t="shared" si="1"/>
        <v>155</v>
      </c>
      <c r="BF15" s="21">
        <f t="shared" si="1"/>
        <v>175939</v>
      </c>
      <c r="BG15" s="21">
        <f t="shared" si="1"/>
        <v>4053</v>
      </c>
      <c r="BH15" s="21">
        <f t="shared" si="1"/>
        <v>33608</v>
      </c>
      <c r="BI15" s="48">
        <f t="shared" si="1"/>
        <v>1.01</v>
      </c>
      <c r="BJ15" s="38">
        <f t="shared" si="1"/>
        <v>7</v>
      </c>
      <c r="BK15" s="21">
        <f t="shared" si="1"/>
        <v>585.23</v>
      </c>
      <c r="BL15" s="21">
        <f t="shared" si="1"/>
        <v>196.08</v>
      </c>
      <c r="BM15" s="21">
        <f t="shared" si="1"/>
        <v>32.49</v>
      </c>
      <c r="BN15" s="48">
        <f t="shared" si="1"/>
        <v>1</v>
      </c>
      <c r="BO15" s="38">
        <f t="shared" ref="BO15:DZ15" si="2">SUM(BO5:BO14)</f>
        <v>15</v>
      </c>
      <c r="BP15" s="21">
        <f t="shared" si="2"/>
        <v>2162</v>
      </c>
      <c r="BQ15" s="21">
        <f t="shared" si="2"/>
        <v>219</v>
      </c>
      <c r="BR15" s="21">
        <f t="shared" si="2"/>
        <v>25</v>
      </c>
      <c r="BS15" s="48">
        <f t="shared" si="2"/>
        <v>0.99990000000000001</v>
      </c>
      <c r="BT15" s="38">
        <f t="shared" si="2"/>
        <v>11</v>
      </c>
      <c r="BU15" s="21">
        <f t="shared" si="2"/>
        <v>2071</v>
      </c>
      <c r="BV15" s="21">
        <f t="shared" si="2"/>
        <v>112</v>
      </c>
      <c r="BW15" s="21">
        <f t="shared" si="2"/>
        <v>2643</v>
      </c>
      <c r="BX15" s="48">
        <f t="shared" si="2"/>
        <v>1</v>
      </c>
      <c r="BY15" s="38">
        <f t="shared" si="2"/>
        <v>4</v>
      </c>
      <c r="BZ15" s="21">
        <f t="shared" si="2"/>
        <v>2984.89</v>
      </c>
      <c r="CA15" s="21">
        <f t="shared" si="2"/>
        <v>16.88</v>
      </c>
      <c r="CB15" s="48">
        <f t="shared" si="2"/>
        <v>1</v>
      </c>
      <c r="CC15" s="48">
        <f t="shared" si="2"/>
        <v>0</v>
      </c>
      <c r="CD15" s="21">
        <f t="shared" si="2"/>
        <v>0</v>
      </c>
      <c r="CE15" s="21">
        <f t="shared" si="2"/>
        <v>105796.54000000001</v>
      </c>
      <c r="CF15" s="21">
        <f t="shared" si="2"/>
        <v>2503.21</v>
      </c>
      <c r="CG15" s="21">
        <f t="shared" si="2"/>
        <v>29686.28</v>
      </c>
      <c r="CH15" s="21">
        <f t="shared" si="2"/>
        <v>1</v>
      </c>
      <c r="CI15" s="21">
        <f t="shared" si="2"/>
        <v>256</v>
      </c>
      <c r="CJ15" s="21">
        <f t="shared" si="2"/>
        <v>39890</v>
      </c>
      <c r="CK15" s="21">
        <f t="shared" si="2"/>
        <v>6315</v>
      </c>
      <c r="CL15" s="21">
        <f t="shared" si="2"/>
        <v>37726.18</v>
      </c>
      <c r="CM15" s="48">
        <f t="shared" si="2"/>
        <v>1.0001</v>
      </c>
      <c r="CN15" s="21">
        <f t="shared" si="2"/>
        <v>0</v>
      </c>
      <c r="CO15" s="21">
        <f t="shared" si="2"/>
        <v>50468.78</v>
      </c>
      <c r="CP15" s="21">
        <f t="shared" si="2"/>
        <v>378</v>
      </c>
      <c r="CQ15" s="21">
        <f t="shared" si="2"/>
        <v>0</v>
      </c>
      <c r="CR15" s="48">
        <f t="shared" si="2"/>
        <v>0</v>
      </c>
      <c r="CS15" s="38">
        <f t="shared" si="2"/>
        <v>6</v>
      </c>
      <c r="CT15" s="21">
        <f t="shared" si="2"/>
        <v>431.51</v>
      </c>
      <c r="CU15" s="21">
        <f t="shared" si="2"/>
        <v>1040.02</v>
      </c>
      <c r="CV15" s="21">
        <f t="shared" si="2"/>
        <v>261.88</v>
      </c>
      <c r="CW15" s="48">
        <f t="shared" si="2"/>
        <v>1</v>
      </c>
      <c r="CX15" s="38">
        <f t="shared" si="2"/>
        <v>149</v>
      </c>
      <c r="CY15" s="21">
        <f t="shared" si="2"/>
        <v>16461.7</v>
      </c>
      <c r="CZ15" s="21">
        <f t="shared" si="2"/>
        <v>2976.38</v>
      </c>
      <c r="DA15" s="21">
        <f t="shared" si="2"/>
        <v>3348.25</v>
      </c>
      <c r="DB15" s="48">
        <f t="shared" si="2"/>
        <v>1.0001</v>
      </c>
      <c r="DC15" s="38">
        <f t="shared" si="2"/>
        <v>6</v>
      </c>
      <c r="DD15" s="21">
        <f t="shared" si="2"/>
        <v>19743.400000000001</v>
      </c>
      <c r="DE15" s="21">
        <f t="shared" si="2"/>
        <v>118.2</v>
      </c>
      <c r="DF15" s="21">
        <f t="shared" si="2"/>
        <v>24.7</v>
      </c>
      <c r="DG15" s="48">
        <f t="shared" si="2"/>
        <v>1</v>
      </c>
      <c r="DH15" s="38">
        <f t="shared" si="2"/>
        <v>29</v>
      </c>
      <c r="DI15" s="21">
        <f t="shared" si="2"/>
        <v>24547.919999999998</v>
      </c>
      <c r="DJ15" s="21">
        <f t="shared" si="2"/>
        <v>2403.59</v>
      </c>
      <c r="DK15" s="21">
        <f t="shared" si="2"/>
        <v>1483.4299999999998</v>
      </c>
      <c r="DL15" s="48">
        <f t="shared" si="2"/>
        <v>0.99990000000000001</v>
      </c>
      <c r="DM15" s="21">
        <f t="shared" si="2"/>
        <v>100</v>
      </c>
      <c r="DN15" s="21">
        <f t="shared" si="2"/>
        <v>85783.32</v>
      </c>
      <c r="DO15" s="21">
        <f t="shared" si="2"/>
        <v>6876.17</v>
      </c>
      <c r="DP15" s="21">
        <f t="shared" si="2"/>
        <v>2701.5299999999997</v>
      </c>
      <c r="DQ15" s="48">
        <f t="shared" si="2"/>
        <v>0.98839999999999995</v>
      </c>
      <c r="DR15" s="38">
        <f t="shared" si="2"/>
        <v>21</v>
      </c>
      <c r="DS15" s="21">
        <f t="shared" si="2"/>
        <v>20675.150000000001</v>
      </c>
      <c r="DT15" s="21">
        <f t="shared" si="2"/>
        <v>769.37</v>
      </c>
      <c r="DU15" s="21">
        <f t="shared" si="2"/>
        <v>183.23</v>
      </c>
      <c r="DV15" s="48">
        <f t="shared" si="2"/>
        <v>1</v>
      </c>
      <c r="DW15" s="21">
        <f t="shared" si="2"/>
        <v>0</v>
      </c>
      <c r="DX15" s="38">
        <f t="shared" si="2"/>
        <v>1</v>
      </c>
      <c r="DY15" s="38">
        <f t="shared" si="2"/>
        <v>67703</v>
      </c>
      <c r="DZ15" s="21">
        <f t="shared" si="2"/>
        <v>0</v>
      </c>
      <c r="EA15" s="48">
        <f t="shared" ref="EA15:EP15" si="3">SUM(EA5:EA14)</f>
        <v>1</v>
      </c>
      <c r="EB15" s="38">
        <f t="shared" si="3"/>
        <v>101</v>
      </c>
      <c r="EC15" s="38">
        <f t="shared" si="3"/>
        <v>15200</v>
      </c>
      <c r="ED15" s="38">
        <f t="shared" si="3"/>
        <v>2928</v>
      </c>
      <c r="EE15" s="38">
        <f t="shared" si="3"/>
        <v>1993</v>
      </c>
      <c r="EF15" s="48">
        <f t="shared" si="3"/>
        <v>0.99990000000000001</v>
      </c>
      <c r="EG15" s="38">
        <f t="shared" si="3"/>
        <v>303</v>
      </c>
      <c r="EH15" s="21">
        <f t="shared" si="3"/>
        <v>1278.5900000000001</v>
      </c>
      <c r="EI15" s="21">
        <f t="shared" si="3"/>
        <v>275.35000000000002</v>
      </c>
      <c r="EJ15" s="21">
        <f t="shared" si="3"/>
        <v>1435.2199999999998</v>
      </c>
      <c r="EK15" s="48">
        <f t="shared" si="3"/>
        <v>1</v>
      </c>
      <c r="EL15" s="38">
        <f t="shared" si="3"/>
        <v>48</v>
      </c>
      <c r="EM15" s="21">
        <f t="shared" si="3"/>
        <v>52336</v>
      </c>
      <c r="EN15" s="21">
        <f t="shared" si="3"/>
        <v>6739</v>
      </c>
      <c r="EO15" s="21">
        <f t="shared" si="3"/>
        <v>3498</v>
      </c>
      <c r="EP15" s="48">
        <f t="shared" si="3"/>
        <v>1.0001000000000002</v>
      </c>
    </row>
  </sheetData>
  <mergeCells count="117">
    <mergeCell ref="B2:F2"/>
    <mergeCell ref="G2:K2"/>
    <mergeCell ref="L2:P2"/>
    <mergeCell ref="Q2:U2"/>
    <mergeCell ref="V2:Z2"/>
    <mergeCell ref="AZ2:BD2"/>
    <mergeCell ref="BE2:BI2"/>
    <mergeCell ref="BJ2:BN2"/>
    <mergeCell ref="BO2:BS2"/>
    <mergeCell ref="AA2:AE2"/>
    <mergeCell ref="AF2:AJ2"/>
    <mergeCell ref="AK2:AO2"/>
    <mergeCell ref="AP2:AT2"/>
    <mergeCell ref="EB2:EF2"/>
    <mergeCell ref="EG2:EK2"/>
    <mergeCell ref="EL2:EP2"/>
    <mergeCell ref="B3:B4"/>
    <mergeCell ref="C3:E3"/>
    <mergeCell ref="F3:F4"/>
    <mergeCell ref="G3:G4"/>
    <mergeCell ref="CX2:DB2"/>
    <mergeCell ref="DC2:DG2"/>
    <mergeCell ref="DH2:DL2"/>
    <mergeCell ref="DM2:DQ2"/>
    <mergeCell ref="DR2:DV2"/>
    <mergeCell ref="DW2:EA2"/>
    <mergeCell ref="BT2:BX2"/>
    <mergeCell ref="BY2:CC2"/>
    <mergeCell ref="CD2:CH2"/>
    <mergeCell ref="CI2:CM2"/>
    <mergeCell ref="CN2:CR2"/>
    <mergeCell ref="CS2:CW2"/>
    <mergeCell ref="AU2:AY2"/>
    <mergeCell ref="R3:T3"/>
    <mergeCell ref="U3:U4"/>
    <mergeCell ref="V3:V4"/>
    <mergeCell ref="W3:Y3"/>
    <mergeCell ref="Z3:Z4"/>
    <mergeCell ref="AA3:AA4"/>
    <mergeCell ref="H3:J3"/>
    <mergeCell ref="K3:K4"/>
    <mergeCell ref="L3:L4"/>
    <mergeCell ref="M3:O3"/>
    <mergeCell ref="P3:P4"/>
    <mergeCell ref="Q3:Q4"/>
    <mergeCell ref="AK3:AK4"/>
    <mergeCell ref="AB3:AD3"/>
    <mergeCell ref="AE3:AE4"/>
    <mergeCell ref="AF3:AF4"/>
    <mergeCell ref="AG3:AI3"/>
    <mergeCell ref="AJ3:AJ4"/>
    <mergeCell ref="AU3:AU4"/>
    <mergeCell ref="AV3:AX3"/>
    <mergeCell ref="AY3:AY4"/>
    <mergeCell ref="AZ3:AZ4"/>
    <mergeCell ref="AL3:AN3"/>
    <mergeCell ref="AO3:AO4"/>
    <mergeCell ref="AP3:AP4"/>
    <mergeCell ref="AQ3:AS3"/>
    <mergeCell ref="AT3:AT4"/>
    <mergeCell ref="BK3:BM3"/>
    <mergeCell ref="BN3:BN4"/>
    <mergeCell ref="BO3:BO4"/>
    <mergeCell ref="BP3:BR3"/>
    <mergeCell ref="BS3:BS4"/>
    <mergeCell ref="BT3:BT4"/>
    <mergeCell ref="BA3:BC3"/>
    <mergeCell ref="BD3:BD4"/>
    <mergeCell ref="BE3:BE4"/>
    <mergeCell ref="BF3:BH3"/>
    <mergeCell ref="BI3:BI4"/>
    <mergeCell ref="BJ3:BJ4"/>
    <mergeCell ref="CE3:CG3"/>
    <mergeCell ref="CH3:CH4"/>
    <mergeCell ref="CI3:CI4"/>
    <mergeCell ref="CJ3:CL3"/>
    <mergeCell ref="CM3:CM4"/>
    <mergeCell ref="CN3:CN4"/>
    <mergeCell ref="BU3:BW3"/>
    <mergeCell ref="BX3:BX4"/>
    <mergeCell ref="BY3:BY4"/>
    <mergeCell ref="BZ3:CB3"/>
    <mergeCell ref="CC3:CC4"/>
    <mergeCell ref="CD3:CD4"/>
    <mergeCell ref="DD3:DF3"/>
    <mergeCell ref="DG3:DG4"/>
    <mergeCell ref="DH3:DH4"/>
    <mergeCell ref="CO3:CQ3"/>
    <mergeCell ref="CR3:CR4"/>
    <mergeCell ref="CS3:CS4"/>
    <mergeCell ref="CT3:CV3"/>
    <mergeCell ref="CW3:CW4"/>
    <mergeCell ref="CX3:CX4"/>
    <mergeCell ref="EM3:EO3"/>
    <mergeCell ref="EP3:EP4"/>
    <mergeCell ref="A3:A4"/>
    <mergeCell ref="EC3:EE3"/>
    <mergeCell ref="EF3:EF4"/>
    <mergeCell ref="EG3:EG4"/>
    <mergeCell ref="EH3:EJ3"/>
    <mergeCell ref="EK3:EK4"/>
    <mergeCell ref="EL3:EL4"/>
    <mergeCell ref="DS3:DU3"/>
    <mergeCell ref="DV3:DV4"/>
    <mergeCell ref="DW3:DW4"/>
    <mergeCell ref="DX3:DZ3"/>
    <mergeCell ref="EA3:EA4"/>
    <mergeCell ref="EB3:EB4"/>
    <mergeCell ref="DI3:DK3"/>
    <mergeCell ref="DL3:DL4"/>
    <mergeCell ref="DM3:DM4"/>
    <mergeCell ref="DN3:DP3"/>
    <mergeCell ref="DQ3:DQ4"/>
    <mergeCell ref="DR3:DR4"/>
    <mergeCell ref="CY3:DA3"/>
    <mergeCell ref="DB3:DB4"/>
    <mergeCell ref="DC3:DC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6" customWidth="1"/>
    <col min="2" max="88" width="10.85546875" style="6" customWidth="1"/>
    <col min="89" max="16384" width="9.140625" style="6"/>
  </cols>
  <sheetData>
    <row r="1" spans="1:88" ht="18.75" x14ac:dyDescent="0.3">
      <c r="A1" s="8" t="s">
        <v>293</v>
      </c>
    </row>
    <row r="2" spans="1:88" x14ac:dyDescent="0.25">
      <c r="A2" s="6" t="s">
        <v>171</v>
      </c>
    </row>
    <row r="3" spans="1:88" x14ac:dyDescent="0.25">
      <c r="A3" s="1" t="s">
        <v>0</v>
      </c>
      <c r="B3" s="99" t="s">
        <v>1</v>
      </c>
      <c r="C3" s="99"/>
      <c r="D3" s="99"/>
      <c r="E3" s="99" t="s">
        <v>2</v>
      </c>
      <c r="F3" s="99"/>
      <c r="G3" s="99"/>
      <c r="H3" s="99" t="s">
        <v>3</v>
      </c>
      <c r="I3" s="99"/>
      <c r="J3" s="99"/>
      <c r="K3" s="91" t="s">
        <v>4</v>
      </c>
      <c r="L3" s="91"/>
      <c r="M3" s="91"/>
      <c r="N3" s="99" t="s">
        <v>5</v>
      </c>
      <c r="O3" s="99"/>
      <c r="P3" s="99"/>
      <c r="Q3" s="99" t="s">
        <v>6</v>
      </c>
      <c r="R3" s="99"/>
      <c r="S3" s="99"/>
      <c r="T3" s="99" t="s">
        <v>7</v>
      </c>
      <c r="U3" s="99"/>
      <c r="V3" s="99"/>
      <c r="W3" s="99" t="s">
        <v>8</v>
      </c>
      <c r="X3" s="99"/>
      <c r="Y3" s="99"/>
      <c r="Z3" s="99" t="s">
        <v>9</v>
      </c>
      <c r="AA3" s="99"/>
      <c r="AB3" s="99"/>
      <c r="AC3" s="99" t="s">
        <v>10</v>
      </c>
      <c r="AD3" s="99"/>
      <c r="AE3" s="99"/>
      <c r="AF3" s="99" t="s">
        <v>11</v>
      </c>
      <c r="AG3" s="99"/>
      <c r="AH3" s="99"/>
      <c r="AI3" s="99" t="s">
        <v>12</v>
      </c>
      <c r="AJ3" s="99"/>
      <c r="AK3" s="99"/>
      <c r="AL3" s="99" t="s">
        <v>13</v>
      </c>
      <c r="AM3" s="99"/>
      <c r="AN3" s="99"/>
      <c r="AO3" s="99" t="s">
        <v>14</v>
      </c>
      <c r="AP3" s="99"/>
      <c r="AQ3" s="99"/>
      <c r="AR3" s="99" t="s">
        <v>15</v>
      </c>
      <c r="AS3" s="99"/>
      <c r="AT3" s="99"/>
      <c r="AU3" s="99" t="s">
        <v>16</v>
      </c>
      <c r="AV3" s="99"/>
      <c r="AW3" s="99"/>
      <c r="AX3" s="99" t="s">
        <v>17</v>
      </c>
      <c r="AY3" s="99"/>
      <c r="AZ3" s="99"/>
      <c r="BA3" s="99" t="s">
        <v>18</v>
      </c>
      <c r="BB3" s="99"/>
      <c r="BC3" s="99"/>
      <c r="BD3" s="99" t="s">
        <v>19</v>
      </c>
      <c r="BE3" s="99"/>
      <c r="BF3" s="99"/>
      <c r="BG3" s="99" t="s">
        <v>20</v>
      </c>
      <c r="BH3" s="99"/>
      <c r="BI3" s="99"/>
      <c r="BJ3" s="99" t="s">
        <v>21</v>
      </c>
      <c r="BK3" s="99"/>
      <c r="BL3" s="99"/>
      <c r="BM3" s="99" t="s">
        <v>22</v>
      </c>
      <c r="BN3" s="99"/>
      <c r="BO3" s="99"/>
      <c r="BP3" s="99" t="s">
        <v>23</v>
      </c>
      <c r="BQ3" s="99"/>
      <c r="BR3" s="99"/>
      <c r="BS3" s="99" t="s">
        <v>24</v>
      </c>
      <c r="BT3" s="99"/>
      <c r="BU3" s="99"/>
      <c r="BV3" s="99" t="s">
        <v>25</v>
      </c>
      <c r="BW3" s="99"/>
      <c r="BX3" s="99"/>
      <c r="BY3" s="99" t="s">
        <v>26</v>
      </c>
      <c r="BZ3" s="99"/>
      <c r="CA3" s="99"/>
      <c r="CB3" s="99" t="s">
        <v>27</v>
      </c>
      <c r="CC3" s="99"/>
      <c r="CD3" s="99"/>
      <c r="CE3" s="99" t="s">
        <v>28</v>
      </c>
      <c r="CF3" s="99"/>
      <c r="CG3" s="99"/>
      <c r="CH3" s="99" t="s">
        <v>29</v>
      </c>
      <c r="CI3" s="99"/>
      <c r="CJ3" s="99"/>
    </row>
    <row r="4" spans="1:88" x14ac:dyDescent="0.25">
      <c r="A4" s="9"/>
      <c r="B4" s="35" t="s">
        <v>158</v>
      </c>
      <c r="C4" s="35" t="s">
        <v>159</v>
      </c>
      <c r="D4" s="35" t="s">
        <v>160</v>
      </c>
      <c r="E4" s="35" t="s">
        <v>158</v>
      </c>
      <c r="F4" s="35" t="s">
        <v>159</v>
      </c>
      <c r="G4" s="35" t="s">
        <v>160</v>
      </c>
      <c r="H4" s="35" t="s">
        <v>158</v>
      </c>
      <c r="I4" s="35" t="s">
        <v>159</v>
      </c>
      <c r="J4" s="35" t="s">
        <v>160</v>
      </c>
      <c r="K4" s="35" t="s">
        <v>158</v>
      </c>
      <c r="L4" s="35" t="s">
        <v>159</v>
      </c>
      <c r="M4" s="35" t="s">
        <v>160</v>
      </c>
      <c r="N4" s="73" t="s">
        <v>158</v>
      </c>
      <c r="O4" s="73" t="s">
        <v>159</v>
      </c>
      <c r="P4" s="73" t="s">
        <v>160</v>
      </c>
      <c r="Q4" s="35" t="s">
        <v>158</v>
      </c>
      <c r="R4" s="35" t="s">
        <v>159</v>
      </c>
      <c r="S4" s="35" t="s">
        <v>160</v>
      </c>
      <c r="T4" s="35" t="s">
        <v>158</v>
      </c>
      <c r="U4" s="35" t="s">
        <v>159</v>
      </c>
      <c r="V4" s="35" t="s">
        <v>160</v>
      </c>
      <c r="W4" s="35" t="s">
        <v>158</v>
      </c>
      <c r="X4" s="35" t="s">
        <v>159</v>
      </c>
      <c r="Y4" s="35" t="s">
        <v>160</v>
      </c>
      <c r="Z4" s="35" t="s">
        <v>158</v>
      </c>
      <c r="AA4" s="35" t="s">
        <v>159</v>
      </c>
      <c r="AB4" s="35" t="s">
        <v>160</v>
      </c>
      <c r="AC4" s="35" t="s">
        <v>158</v>
      </c>
      <c r="AD4" s="35" t="s">
        <v>159</v>
      </c>
      <c r="AE4" s="35" t="s">
        <v>160</v>
      </c>
      <c r="AF4" s="35" t="s">
        <v>158</v>
      </c>
      <c r="AG4" s="35" t="s">
        <v>159</v>
      </c>
      <c r="AH4" s="35" t="s">
        <v>160</v>
      </c>
      <c r="AI4" s="35" t="s">
        <v>158</v>
      </c>
      <c r="AJ4" s="35" t="s">
        <v>159</v>
      </c>
      <c r="AK4" s="35" t="s">
        <v>160</v>
      </c>
      <c r="AL4" s="35" t="s">
        <v>158</v>
      </c>
      <c r="AM4" s="35" t="s">
        <v>159</v>
      </c>
      <c r="AN4" s="35" t="s">
        <v>160</v>
      </c>
      <c r="AO4" s="35" t="s">
        <v>158</v>
      </c>
      <c r="AP4" s="35" t="s">
        <v>159</v>
      </c>
      <c r="AQ4" s="35" t="s">
        <v>160</v>
      </c>
      <c r="AR4" s="35" t="s">
        <v>158</v>
      </c>
      <c r="AS4" s="35" t="s">
        <v>159</v>
      </c>
      <c r="AT4" s="35" t="s">
        <v>160</v>
      </c>
      <c r="AU4" s="35" t="s">
        <v>158</v>
      </c>
      <c r="AV4" s="35" t="s">
        <v>159</v>
      </c>
      <c r="AW4" s="35" t="s">
        <v>160</v>
      </c>
      <c r="AX4" s="35" t="s">
        <v>158</v>
      </c>
      <c r="AY4" s="35" t="s">
        <v>159</v>
      </c>
      <c r="AZ4" s="35" t="s">
        <v>160</v>
      </c>
      <c r="BA4" s="35" t="s">
        <v>158</v>
      </c>
      <c r="BB4" s="35" t="s">
        <v>159</v>
      </c>
      <c r="BC4" s="35" t="s">
        <v>160</v>
      </c>
      <c r="BD4" s="35" t="s">
        <v>158</v>
      </c>
      <c r="BE4" s="35" t="s">
        <v>159</v>
      </c>
      <c r="BF4" s="35" t="s">
        <v>160</v>
      </c>
      <c r="BG4" s="35" t="s">
        <v>158</v>
      </c>
      <c r="BH4" s="35" t="s">
        <v>159</v>
      </c>
      <c r="BI4" s="35" t="s">
        <v>160</v>
      </c>
      <c r="BJ4" s="35" t="s">
        <v>158</v>
      </c>
      <c r="BK4" s="35" t="s">
        <v>159</v>
      </c>
      <c r="BL4" s="35" t="s">
        <v>160</v>
      </c>
      <c r="BM4" s="35" t="s">
        <v>158</v>
      </c>
      <c r="BN4" s="35" t="s">
        <v>159</v>
      </c>
      <c r="BO4" s="35" t="s">
        <v>160</v>
      </c>
      <c r="BP4" s="35" t="s">
        <v>158</v>
      </c>
      <c r="BQ4" s="35" t="s">
        <v>159</v>
      </c>
      <c r="BR4" s="35" t="s">
        <v>160</v>
      </c>
      <c r="BS4" s="35" t="s">
        <v>158</v>
      </c>
      <c r="BT4" s="35" t="s">
        <v>159</v>
      </c>
      <c r="BU4" s="35" t="s">
        <v>160</v>
      </c>
      <c r="BV4" s="35" t="s">
        <v>158</v>
      </c>
      <c r="BW4" s="35" t="s">
        <v>159</v>
      </c>
      <c r="BX4" s="35" t="s">
        <v>160</v>
      </c>
      <c r="BY4" s="35" t="s">
        <v>158</v>
      </c>
      <c r="BZ4" s="35" t="s">
        <v>159</v>
      </c>
      <c r="CA4" s="35" t="s">
        <v>160</v>
      </c>
      <c r="CB4" s="35" t="s">
        <v>158</v>
      </c>
      <c r="CC4" s="35" t="s">
        <v>159</v>
      </c>
      <c r="CD4" s="35" t="s">
        <v>160</v>
      </c>
      <c r="CE4" s="35" t="s">
        <v>158</v>
      </c>
      <c r="CF4" s="35" t="s">
        <v>159</v>
      </c>
      <c r="CG4" s="35" t="s">
        <v>160</v>
      </c>
      <c r="CH4" s="35" t="s">
        <v>158</v>
      </c>
      <c r="CI4" s="35" t="s">
        <v>159</v>
      </c>
      <c r="CJ4" s="35" t="s">
        <v>160</v>
      </c>
    </row>
    <row r="5" spans="1:88" x14ac:dyDescent="0.25">
      <c r="A5" s="9" t="s">
        <v>161</v>
      </c>
      <c r="B5" s="9"/>
      <c r="C5" s="9"/>
      <c r="D5" s="9"/>
      <c r="E5" s="9"/>
      <c r="F5" s="9">
        <f>G5-E5</f>
        <v>12954875</v>
      </c>
      <c r="G5" s="9">
        <v>12954875</v>
      </c>
      <c r="H5" s="9"/>
      <c r="I5" s="9">
        <f>J5-H5</f>
        <v>9807</v>
      </c>
      <c r="J5" s="9">
        <v>9807</v>
      </c>
      <c r="K5" s="9">
        <v>51429</v>
      </c>
      <c r="L5" s="9">
        <f>M5-K5</f>
        <v>75945</v>
      </c>
      <c r="M5" s="9">
        <v>127374</v>
      </c>
      <c r="N5" s="70">
        <v>16007</v>
      </c>
      <c r="O5" s="9">
        <f>P5-N5</f>
        <v>18806</v>
      </c>
      <c r="P5" s="70">
        <v>34813</v>
      </c>
      <c r="Q5" s="70">
        <v>27391</v>
      </c>
      <c r="R5" s="9">
        <f>S5-Q5</f>
        <v>30575</v>
      </c>
      <c r="S5" s="9">
        <v>57966</v>
      </c>
      <c r="T5" s="9"/>
      <c r="U5" s="9">
        <f>V5-T5</f>
        <v>1147</v>
      </c>
      <c r="V5" s="9">
        <v>1147</v>
      </c>
      <c r="W5" s="9"/>
      <c r="X5" s="9">
        <f>Y5-W5</f>
        <v>701</v>
      </c>
      <c r="Y5" s="9">
        <v>701</v>
      </c>
      <c r="Z5" s="9"/>
      <c r="AA5" s="9">
        <f>AB5-Z5</f>
        <v>21657</v>
      </c>
      <c r="AB5" s="70">
        <v>21657</v>
      </c>
      <c r="AC5" s="9">
        <v>3379</v>
      </c>
      <c r="AD5" s="9">
        <f>AE5-AC5</f>
        <v>6920</v>
      </c>
      <c r="AE5" s="9">
        <v>10299</v>
      </c>
      <c r="AF5" s="9">
        <v>60297</v>
      </c>
      <c r="AG5" s="9">
        <f>AH5-AF5</f>
        <v>157846</v>
      </c>
      <c r="AH5" s="9">
        <v>218143</v>
      </c>
      <c r="AI5" s="70">
        <v>32518</v>
      </c>
      <c r="AJ5" s="9">
        <f>AK5-AI5</f>
        <v>53035</v>
      </c>
      <c r="AK5" s="70">
        <v>85553</v>
      </c>
      <c r="AL5" s="9">
        <v>11</v>
      </c>
      <c r="AM5" s="9">
        <f>AN5-AL5</f>
        <v>255</v>
      </c>
      <c r="AN5" s="9">
        <v>266</v>
      </c>
      <c r="AO5" s="9">
        <v>1012</v>
      </c>
      <c r="AP5" s="9">
        <f>AQ5-AO5</f>
        <v>4728</v>
      </c>
      <c r="AQ5" s="9">
        <v>5740</v>
      </c>
      <c r="AR5" s="9">
        <v>4354</v>
      </c>
      <c r="AS5" s="9">
        <f>AT5-AR5</f>
        <v>2004</v>
      </c>
      <c r="AT5" s="9">
        <v>6358</v>
      </c>
      <c r="AU5" s="9"/>
      <c r="AV5" s="9">
        <f>AW5-AU5</f>
        <v>3169</v>
      </c>
      <c r="AW5" s="9">
        <v>3169</v>
      </c>
      <c r="AX5" s="9">
        <v>157742</v>
      </c>
      <c r="AY5" s="9">
        <f>AZ5-AX5</f>
        <v>235833</v>
      </c>
      <c r="AZ5" s="9">
        <v>393575</v>
      </c>
      <c r="BA5" s="9">
        <v>166962</v>
      </c>
      <c r="BB5" s="9">
        <f>BC5-BA5</f>
        <v>-164501</v>
      </c>
      <c r="BC5" s="9">
        <v>2461</v>
      </c>
      <c r="BD5" s="9">
        <v>142519</v>
      </c>
      <c r="BE5" s="9">
        <f>BF5-BD5</f>
        <v>224189</v>
      </c>
      <c r="BF5" s="9">
        <v>366708</v>
      </c>
      <c r="BG5" s="9">
        <v>19</v>
      </c>
      <c r="BH5" s="9">
        <f>BI5-BG5</f>
        <v>155</v>
      </c>
      <c r="BI5" s="9">
        <v>174</v>
      </c>
      <c r="BJ5" s="9">
        <v>69775</v>
      </c>
      <c r="BK5" s="9">
        <f>BL5-BJ5</f>
        <v>78206</v>
      </c>
      <c r="BL5" s="9">
        <v>147981</v>
      </c>
      <c r="BM5" s="9"/>
      <c r="BN5" s="9">
        <f>BO5-BM5</f>
        <v>5776</v>
      </c>
      <c r="BO5" s="9">
        <v>5776</v>
      </c>
      <c r="BP5" s="9">
        <v>20641</v>
      </c>
      <c r="BQ5" s="9">
        <f>BR5-BP5</f>
        <v>18702</v>
      </c>
      <c r="BR5" s="9">
        <v>39343</v>
      </c>
      <c r="BS5" s="9"/>
      <c r="BT5" s="9">
        <f>BU5-BS5</f>
        <v>0</v>
      </c>
      <c r="BU5" s="9"/>
      <c r="BV5" s="9">
        <v>56217</v>
      </c>
      <c r="BW5" s="9">
        <f>BX5-BV5</f>
        <v>9830</v>
      </c>
      <c r="BX5" s="9">
        <v>66047</v>
      </c>
      <c r="BY5" s="9"/>
      <c r="BZ5" s="9">
        <f>CA5-BY5</f>
        <v>37279</v>
      </c>
      <c r="CA5" s="9">
        <v>37279</v>
      </c>
      <c r="CB5" s="9">
        <v>15443</v>
      </c>
      <c r="CC5" s="9">
        <f>CD5-CB5</f>
        <v>45329</v>
      </c>
      <c r="CD5" s="9">
        <v>60772</v>
      </c>
      <c r="CE5" s="9">
        <v>202050</v>
      </c>
      <c r="CF5" s="9">
        <f>CG5-CE5</f>
        <v>449324</v>
      </c>
      <c r="CG5" s="9">
        <v>651374</v>
      </c>
      <c r="CH5" s="9">
        <v>5128</v>
      </c>
      <c r="CI5" s="9">
        <f>CJ5-CH5</f>
        <v>6358</v>
      </c>
      <c r="CJ5" s="9">
        <v>11486</v>
      </c>
    </row>
    <row r="6" spans="1:88" x14ac:dyDescent="0.25">
      <c r="A6" s="9" t="s">
        <v>162</v>
      </c>
      <c r="B6" s="9"/>
      <c r="C6" s="9">
        <f t="shared" ref="C6:C12" si="0">D6-B6</f>
        <v>3722</v>
      </c>
      <c r="D6" s="9">
        <v>3722</v>
      </c>
      <c r="E6" s="9"/>
      <c r="F6" s="9">
        <f t="shared" ref="F6:F14" si="1">G6-E6</f>
        <v>12192604</v>
      </c>
      <c r="G6" s="9">
        <v>12192604</v>
      </c>
      <c r="H6" s="9"/>
      <c r="I6" s="9">
        <f t="shared" ref="I6:I11" si="2">J6-H6</f>
        <v>217891</v>
      </c>
      <c r="J6" s="9">
        <v>217891</v>
      </c>
      <c r="K6" s="9">
        <v>3357</v>
      </c>
      <c r="L6" s="9">
        <f t="shared" ref="L6:L14" si="3">M6-K6</f>
        <v>255941</v>
      </c>
      <c r="M6" s="9">
        <v>259298</v>
      </c>
      <c r="N6" s="70">
        <v>917</v>
      </c>
      <c r="O6" s="9">
        <f t="shared" ref="O6:O14" si="4">P6-N6</f>
        <v>60001</v>
      </c>
      <c r="P6" s="70">
        <v>60918</v>
      </c>
      <c r="Q6" s="70">
        <v>5086</v>
      </c>
      <c r="R6" s="9">
        <f t="shared" ref="R6:R7" si="5">S6-Q6</f>
        <v>41257</v>
      </c>
      <c r="S6" s="9">
        <v>46343</v>
      </c>
      <c r="T6" s="9"/>
      <c r="U6" s="9">
        <f t="shared" ref="U6:U14" si="6">V6-T6</f>
        <v>12281</v>
      </c>
      <c r="V6" s="9">
        <v>12281</v>
      </c>
      <c r="W6" s="9"/>
      <c r="X6" s="9">
        <f t="shared" ref="X6:X14" si="7">Y6-W6</f>
        <v>464</v>
      </c>
      <c r="Y6" s="9">
        <v>464</v>
      </c>
      <c r="Z6" s="9"/>
      <c r="AA6" s="9">
        <f t="shared" ref="AA6:AA14" si="8">AB6-Z6</f>
        <v>50829</v>
      </c>
      <c r="AB6" s="70">
        <v>50829</v>
      </c>
      <c r="AC6" s="9">
        <v>501</v>
      </c>
      <c r="AD6" s="9">
        <f t="shared" ref="AD6:AD14" si="9">AE6-AC6</f>
        <v>15740</v>
      </c>
      <c r="AE6" s="9">
        <v>16241</v>
      </c>
      <c r="AF6" s="9">
        <v>5928</v>
      </c>
      <c r="AG6" s="9">
        <f t="shared" ref="AG6:AG14" si="10">AH6-AF6</f>
        <v>532304</v>
      </c>
      <c r="AH6" s="9">
        <v>538232</v>
      </c>
      <c r="AI6" s="70">
        <v>19776</v>
      </c>
      <c r="AJ6" s="9">
        <f t="shared" ref="AJ6:AJ14" si="11">AK6-AI6</f>
        <v>886848</v>
      </c>
      <c r="AK6" s="70">
        <v>906624</v>
      </c>
      <c r="AL6" s="9">
        <v>19</v>
      </c>
      <c r="AM6" s="9">
        <f t="shared" ref="AM6:AM14" si="12">AN6-AL6</f>
        <v>1830</v>
      </c>
      <c r="AN6" s="9">
        <v>1849</v>
      </c>
      <c r="AO6" s="9">
        <v>332</v>
      </c>
      <c r="AP6" s="9">
        <f t="shared" ref="AP6:AP14" si="13">AQ6-AO6</f>
        <v>22787</v>
      </c>
      <c r="AQ6" s="9">
        <v>23119</v>
      </c>
      <c r="AR6" s="9">
        <v>619</v>
      </c>
      <c r="AS6" s="9">
        <f t="shared" ref="AS6:AS14" si="14">AT6-AR6</f>
        <v>5481</v>
      </c>
      <c r="AT6" s="9">
        <v>6100</v>
      </c>
      <c r="AU6" s="9"/>
      <c r="AV6" s="9">
        <f t="shared" ref="AV6:AV14" si="15">AW6-AU6</f>
        <v>18353</v>
      </c>
      <c r="AW6" s="9">
        <v>18353</v>
      </c>
      <c r="AX6" s="9">
        <v>17445</v>
      </c>
      <c r="AY6" s="9">
        <f t="shared" ref="AY6:AY14" si="16">AZ6-AX6</f>
        <v>1863341</v>
      </c>
      <c r="AZ6" s="9">
        <v>1880786</v>
      </c>
      <c r="BA6" s="9">
        <v>24935</v>
      </c>
      <c r="BB6" s="9">
        <f t="shared" ref="BB6:BB14" si="17">BC6-BA6</f>
        <v>-19455</v>
      </c>
      <c r="BC6" s="9">
        <v>5480</v>
      </c>
      <c r="BD6" s="9">
        <v>19402</v>
      </c>
      <c r="BE6" s="9">
        <f t="shared" ref="BE6:BE14" si="18">BF6-BD6</f>
        <v>345103</v>
      </c>
      <c r="BF6" s="9">
        <v>364505</v>
      </c>
      <c r="BG6" s="9">
        <v>15</v>
      </c>
      <c r="BH6" s="9">
        <f t="shared" ref="BH6:BH14" si="19">BI6-BG6</f>
        <v>50</v>
      </c>
      <c r="BI6" s="9">
        <v>65</v>
      </c>
      <c r="BJ6" s="9">
        <v>5261</v>
      </c>
      <c r="BK6" s="9">
        <f t="shared" ref="BK6:BK14" si="20">BL6-BJ6</f>
        <v>94280</v>
      </c>
      <c r="BL6" s="9">
        <v>99541</v>
      </c>
      <c r="BM6" s="9"/>
      <c r="BN6" s="9">
        <f t="shared" ref="BN6:BN14" si="21">BO6-BM6</f>
        <v>54489</v>
      </c>
      <c r="BO6" s="9">
        <v>54489</v>
      </c>
      <c r="BP6" s="9">
        <v>2829</v>
      </c>
      <c r="BQ6" s="9">
        <f t="shared" ref="BQ6:BQ14" si="22">BR6-BP6</f>
        <v>91475</v>
      </c>
      <c r="BR6" s="9">
        <v>94304</v>
      </c>
      <c r="BS6" s="9"/>
      <c r="BT6" s="9">
        <f t="shared" ref="BT6:BT14" si="23">BU6-BS6</f>
        <v>0</v>
      </c>
      <c r="BU6" s="9"/>
      <c r="BV6" s="9">
        <v>5879</v>
      </c>
      <c r="BW6" s="9">
        <f t="shared" ref="BW6:BW14" si="24">BX6-BV6</f>
        <v>21254</v>
      </c>
      <c r="BX6" s="9">
        <v>27133</v>
      </c>
      <c r="BY6" s="9"/>
      <c r="BZ6" s="9">
        <f t="shared" ref="BZ6:BZ14" si="25">CA6-BY6</f>
        <v>124243</v>
      </c>
      <c r="CA6" s="9">
        <v>124243</v>
      </c>
      <c r="CB6" s="9">
        <v>2302</v>
      </c>
      <c r="CC6" s="9">
        <f t="shared" ref="CC6:CC14" si="26">CD6-CB6</f>
        <v>133639</v>
      </c>
      <c r="CD6" s="9">
        <v>135941</v>
      </c>
      <c r="CE6" s="9">
        <v>25759</v>
      </c>
      <c r="CF6" s="9">
        <f t="shared" ref="CF6:CF14" si="27">CG6-CE6</f>
        <v>1049633</v>
      </c>
      <c r="CG6" s="9">
        <v>1075392</v>
      </c>
      <c r="CH6" s="9">
        <v>1836</v>
      </c>
      <c r="CI6" s="9">
        <f t="shared" ref="CI6:CI14" si="28">CJ6-CH6</f>
        <v>114839</v>
      </c>
      <c r="CJ6" s="9">
        <v>116675</v>
      </c>
    </row>
    <row r="7" spans="1:88" x14ac:dyDescent="0.25">
      <c r="A7" s="9" t="s">
        <v>163</v>
      </c>
      <c r="B7" s="9"/>
      <c r="C7" s="9">
        <f t="shared" si="0"/>
        <v>2419</v>
      </c>
      <c r="D7" s="9">
        <v>2419</v>
      </c>
      <c r="E7" s="9"/>
      <c r="F7" s="9">
        <f t="shared" si="1"/>
        <v>17219032</v>
      </c>
      <c r="G7" s="9">
        <v>17219032</v>
      </c>
      <c r="H7" s="9"/>
      <c r="I7" s="9">
        <f t="shared" si="2"/>
        <v>193305</v>
      </c>
      <c r="J7" s="9">
        <v>193305</v>
      </c>
      <c r="K7" s="9">
        <v>5148</v>
      </c>
      <c r="L7" s="9">
        <f t="shared" si="3"/>
        <v>261419</v>
      </c>
      <c r="M7" s="9">
        <v>266567</v>
      </c>
      <c r="N7" s="70">
        <v>903</v>
      </c>
      <c r="O7" s="9">
        <f t="shared" si="4"/>
        <v>57677</v>
      </c>
      <c r="P7" s="70">
        <v>58580</v>
      </c>
      <c r="Q7" s="70">
        <v>4273</v>
      </c>
      <c r="R7" s="9">
        <f t="shared" si="5"/>
        <v>41665</v>
      </c>
      <c r="S7" s="9">
        <v>45938</v>
      </c>
      <c r="T7" s="9"/>
      <c r="U7" s="9">
        <f t="shared" si="6"/>
        <v>11178</v>
      </c>
      <c r="V7" s="9">
        <v>11178</v>
      </c>
      <c r="W7" s="9"/>
      <c r="X7" s="9">
        <f t="shared" si="7"/>
        <v>339</v>
      </c>
      <c r="Y7" s="9">
        <v>339</v>
      </c>
      <c r="Z7" s="9"/>
      <c r="AA7" s="9">
        <f t="shared" si="8"/>
        <v>47209</v>
      </c>
      <c r="AB7" s="70">
        <v>47209</v>
      </c>
      <c r="AC7" s="9">
        <v>226</v>
      </c>
      <c r="AD7" s="9">
        <f t="shared" si="9"/>
        <v>14881</v>
      </c>
      <c r="AE7" s="9">
        <v>15107</v>
      </c>
      <c r="AF7" s="9">
        <v>3501</v>
      </c>
      <c r="AG7" s="9">
        <f t="shared" si="10"/>
        <v>440795</v>
      </c>
      <c r="AH7" s="9">
        <v>444296</v>
      </c>
      <c r="AI7" s="70">
        <v>16469</v>
      </c>
      <c r="AJ7" s="9">
        <f t="shared" si="11"/>
        <v>841460</v>
      </c>
      <c r="AK7" s="70">
        <v>857929</v>
      </c>
      <c r="AL7" s="9"/>
      <c r="AM7" s="9">
        <f t="shared" si="12"/>
        <v>1419</v>
      </c>
      <c r="AN7" s="9">
        <v>1419</v>
      </c>
      <c r="AO7" s="9">
        <v>47</v>
      </c>
      <c r="AP7" s="9">
        <f t="shared" si="13"/>
        <v>19967</v>
      </c>
      <c r="AQ7" s="9">
        <v>20014</v>
      </c>
      <c r="AR7" s="9">
        <v>556</v>
      </c>
      <c r="AS7" s="9">
        <f t="shared" si="14"/>
        <v>4996</v>
      </c>
      <c r="AT7" s="9">
        <v>5552</v>
      </c>
      <c r="AU7" s="9"/>
      <c r="AV7" s="9">
        <f t="shared" si="15"/>
        <v>16792</v>
      </c>
      <c r="AW7" s="9">
        <v>16792</v>
      </c>
      <c r="AX7" s="9">
        <v>50763</v>
      </c>
      <c r="AY7" s="9">
        <f t="shared" si="16"/>
        <v>1698112</v>
      </c>
      <c r="AZ7" s="9">
        <v>1748875</v>
      </c>
      <c r="BA7" s="9">
        <v>35024</v>
      </c>
      <c r="BB7" s="9">
        <f t="shared" si="17"/>
        <v>-27123</v>
      </c>
      <c r="BC7" s="9">
        <v>7901</v>
      </c>
      <c r="BD7" s="9">
        <v>34331</v>
      </c>
      <c r="BE7" s="9">
        <f t="shared" si="18"/>
        <v>433373</v>
      </c>
      <c r="BF7" s="9">
        <v>467704</v>
      </c>
      <c r="BG7" s="9">
        <v>1</v>
      </c>
      <c r="BH7" s="9">
        <f t="shared" si="19"/>
        <v>25</v>
      </c>
      <c r="BI7" s="9">
        <v>26</v>
      </c>
      <c r="BJ7" s="9">
        <v>5673</v>
      </c>
      <c r="BK7" s="9">
        <f t="shared" si="20"/>
        <v>91753</v>
      </c>
      <c r="BL7" s="9">
        <v>97426</v>
      </c>
      <c r="BM7" s="9"/>
      <c r="BN7" s="9">
        <f t="shared" si="21"/>
        <v>50289</v>
      </c>
      <c r="BO7" s="9">
        <v>50289</v>
      </c>
      <c r="BP7" s="9">
        <v>1797</v>
      </c>
      <c r="BQ7" s="9">
        <f t="shared" si="22"/>
        <v>94218</v>
      </c>
      <c r="BR7" s="9">
        <v>96015</v>
      </c>
      <c r="BS7" s="9"/>
      <c r="BT7" s="9">
        <f t="shared" si="23"/>
        <v>0</v>
      </c>
      <c r="BU7" s="9"/>
      <c r="BV7" s="9">
        <v>9943</v>
      </c>
      <c r="BW7" s="9">
        <f t="shared" si="24"/>
        <v>18797</v>
      </c>
      <c r="BX7" s="9">
        <v>28740</v>
      </c>
      <c r="BY7" s="9"/>
      <c r="BZ7" s="9">
        <f t="shared" si="25"/>
        <v>105955</v>
      </c>
      <c r="CA7" s="9">
        <v>105955</v>
      </c>
      <c r="CB7" s="9">
        <v>1996</v>
      </c>
      <c r="CC7" s="9">
        <f t="shared" si="26"/>
        <v>122585</v>
      </c>
      <c r="CD7" s="9">
        <v>124581</v>
      </c>
      <c r="CE7" s="9">
        <v>25579</v>
      </c>
      <c r="CF7" s="9">
        <f t="shared" si="27"/>
        <v>973580</v>
      </c>
      <c r="CG7" s="9">
        <v>999159</v>
      </c>
      <c r="CH7" s="9">
        <v>1892</v>
      </c>
      <c r="CI7" s="9">
        <f t="shared" si="28"/>
        <v>102283</v>
      </c>
      <c r="CJ7" s="9">
        <v>104175</v>
      </c>
    </row>
    <row r="8" spans="1:88" x14ac:dyDescent="0.25">
      <c r="A8" s="9" t="s">
        <v>164</v>
      </c>
      <c r="B8" s="9"/>
      <c r="C8" s="9">
        <f t="shared" si="0"/>
        <v>228</v>
      </c>
      <c r="D8" s="9">
        <v>228</v>
      </c>
      <c r="E8" s="9"/>
      <c r="F8" s="9">
        <f t="shared" si="1"/>
        <v>367</v>
      </c>
      <c r="G8" s="9">
        <v>367</v>
      </c>
      <c r="H8" s="9"/>
      <c r="I8" s="9">
        <f t="shared" si="2"/>
        <v>16491</v>
      </c>
      <c r="J8" s="9">
        <v>16491</v>
      </c>
      <c r="K8" s="9"/>
      <c r="L8" s="9">
        <f t="shared" si="3"/>
        <v>8479</v>
      </c>
      <c r="M8" s="9">
        <v>8479</v>
      </c>
      <c r="N8" s="9"/>
      <c r="O8" s="9">
        <f t="shared" si="4"/>
        <v>1180</v>
      </c>
      <c r="P8" s="70">
        <v>1180</v>
      </c>
      <c r="Q8" s="9"/>
      <c r="R8" s="9">
        <f t="shared" ref="R8:R14" si="29">S8-Q8</f>
        <v>4017</v>
      </c>
      <c r="S8" s="9">
        <v>4017</v>
      </c>
      <c r="T8" s="9"/>
      <c r="U8" s="9">
        <f t="shared" si="6"/>
        <v>1556</v>
      </c>
      <c r="V8" s="9">
        <v>1556</v>
      </c>
      <c r="W8" s="9"/>
      <c r="X8" s="9">
        <f t="shared" si="7"/>
        <v>370</v>
      </c>
      <c r="Y8" s="9">
        <v>370</v>
      </c>
      <c r="Z8" s="9"/>
      <c r="AA8" s="9">
        <f t="shared" si="8"/>
        <v>2271</v>
      </c>
      <c r="AB8" s="70">
        <v>2271</v>
      </c>
      <c r="AC8" s="9"/>
      <c r="AD8" s="9">
        <f t="shared" si="9"/>
        <v>290</v>
      </c>
      <c r="AE8" s="9">
        <v>290</v>
      </c>
      <c r="AF8" s="9">
        <v>606</v>
      </c>
      <c r="AG8" s="9">
        <f t="shared" si="10"/>
        <v>76205</v>
      </c>
      <c r="AH8" s="9">
        <v>76811</v>
      </c>
      <c r="AI8" s="9"/>
      <c r="AJ8" s="9">
        <f t="shared" si="11"/>
        <v>701</v>
      </c>
      <c r="AK8" s="70">
        <v>701</v>
      </c>
      <c r="AL8" s="9"/>
      <c r="AM8" s="9">
        <f t="shared" si="12"/>
        <v>129</v>
      </c>
      <c r="AN8" s="9">
        <v>129</v>
      </c>
      <c r="AO8" s="9"/>
      <c r="AP8" s="9">
        <f t="shared" si="13"/>
        <v>1351</v>
      </c>
      <c r="AQ8" s="9">
        <v>1351</v>
      </c>
      <c r="AR8" s="9">
        <v>0</v>
      </c>
      <c r="AS8" s="9">
        <f t="shared" si="14"/>
        <v>312</v>
      </c>
      <c r="AT8" s="9">
        <v>312</v>
      </c>
      <c r="AU8" s="9"/>
      <c r="AV8" s="9">
        <f t="shared" si="15"/>
        <v>2049</v>
      </c>
      <c r="AW8" s="9">
        <v>2049</v>
      </c>
      <c r="AX8" s="9">
        <v>5600</v>
      </c>
      <c r="AY8" s="9">
        <f t="shared" si="16"/>
        <v>80684</v>
      </c>
      <c r="AZ8" s="9">
        <v>86284</v>
      </c>
      <c r="BA8" s="9">
        <v>379</v>
      </c>
      <c r="BB8" s="9">
        <f t="shared" si="17"/>
        <v>18735</v>
      </c>
      <c r="BC8" s="9">
        <v>19114</v>
      </c>
      <c r="BD8" s="9">
        <v>184</v>
      </c>
      <c r="BE8" s="9">
        <f t="shared" si="18"/>
        <v>1538</v>
      </c>
      <c r="BF8" s="9">
        <v>1722</v>
      </c>
      <c r="BG8" s="9"/>
      <c r="BH8" s="9">
        <f t="shared" si="19"/>
        <v>0</v>
      </c>
      <c r="BI8" s="9"/>
      <c r="BJ8" s="9">
        <v>1223</v>
      </c>
      <c r="BK8" s="9">
        <f t="shared" si="20"/>
        <v>5039</v>
      </c>
      <c r="BL8" s="9">
        <v>6262</v>
      </c>
      <c r="BM8" s="9"/>
      <c r="BN8" s="9">
        <f t="shared" si="21"/>
        <v>4432</v>
      </c>
      <c r="BO8" s="9">
        <v>4432</v>
      </c>
      <c r="BP8" s="9"/>
      <c r="BQ8" s="9">
        <f t="shared" si="22"/>
        <v>2521</v>
      </c>
      <c r="BR8" s="9">
        <v>2521</v>
      </c>
      <c r="BS8" s="9"/>
      <c r="BT8" s="9">
        <f t="shared" si="23"/>
        <v>0</v>
      </c>
      <c r="BU8" s="9"/>
      <c r="BV8" s="9">
        <v>1580</v>
      </c>
      <c r="BW8" s="9">
        <f t="shared" si="24"/>
        <v>842</v>
      </c>
      <c r="BX8" s="9">
        <v>2422</v>
      </c>
      <c r="BY8" s="9"/>
      <c r="BZ8" s="9">
        <f t="shared" si="25"/>
        <v>15011</v>
      </c>
      <c r="CA8" s="9">
        <v>15011</v>
      </c>
      <c r="CB8" s="9"/>
      <c r="CC8" s="9">
        <f t="shared" si="26"/>
        <v>3156</v>
      </c>
      <c r="CD8" s="9">
        <v>3156</v>
      </c>
      <c r="CE8" s="9">
        <v>21</v>
      </c>
      <c r="CF8" s="9">
        <f t="shared" si="27"/>
        <v>107415</v>
      </c>
      <c r="CG8" s="9">
        <v>107436</v>
      </c>
      <c r="CH8" s="9"/>
      <c r="CI8" s="9">
        <f t="shared" si="28"/>
        <v>3201</v>
      </c>
      <c r="CJ8" s="9">
        <v>3201</v>
      </c>
    </row>
    <row r="9" spans="1:88" x14ac:dyDescent="0.25">
      <c r="A9" s="9" t="s">
        <v>165</v>
      </c>
      <c r="B9" s="9"/>
      <c r="C9" s="9"/>
      <c r="D9" s="9"/>
      <c r="E9" s="9"/>
      <c r="F9" s="9">
        <f t="shared" si="1"/>
        <v>664</v>
      </c>
      <c r="G9" s="9">
        <v>664</v>
      </c>
      <c r="H9" s="9"/>
      <c r="I9" s="9">
        <f t="shared" si="2"/>
        <v>4476</v>
      </c>
      <c r="J9" s="9">
        <v>4476</v>
      </c>
      <c r="K9">
        <v>74</v>
      </c>
      <c r="L9" s="9">
        <f t="shared" si="3"/>
        <v>38805</v>
      </c>
      <c r="M9" s="9">
        <v>38879</v>
      </c>
      <c r="N9" s="70">
        <v>89</v>
      </c>
      <c r="O9" s="9">
        <f t="shared" si="4"/>
        <v>3265</v>
      </c>
      <c r="P9" s="70">
        <v>3354</v>
      </c>
      <c r="Q9" s="70">
        <v>962</v>
      </c>
      <c r="R9" s="9">
        <f t="shared" si="29"/>
        <v>2124</v>
      </c>
      <c r="S9" s="9">
        <v>3086</v>
      </c>
      <c r="T9" s="9"/>
      <c r="U9" s="9">
        <f t="shared" si="6"/>
        <v>0</v>
      </c>
      <c r="V9" s="9"/>
      <c r="W9" s="9"/>
      <c r="X9" s="9">
        <f t="shared" si="7"/>
        <v>0</v>
      </c>
      <c r="Y9" s="9"/>
      <c r="Z9" s="9"/>
      <c r="AA9" s="9">
        <f t="shared" si="8"/>
        <v>1956</v>
      </c>
      <c r="AB9" s="70">
        <v>1956</v>
      </c>
      <c r="AC9" s="9">
        <v>230</v>
      </c>
      <c r="AD9" s="9">
        <f t="shared" si="9"/>
        <v>2974</v>
      </c>
      <c r="AE9" s="9">
        <v>3204</v>
      </c>
      <c r="AF9" s="9">
        <v>1406</v>
      </c>
      <c r="AG9" s="9">
        <f t="shared" si="10"/>
        <v>21437</v>
      </c>
      <c r="AH9" s="9">
        <v>22843</v>
      </c>
      <c r="AI9" s="70">
        <v>320</v>
      </c>
      <c r="AJ9" s="9">
        <f t="shared" si="11"/>
        <v>16681</v>
      </c>
      <c r="AK9" s="70">
        <v>17001</v>
      </c>
      <c r="AL9" s="9"/>
      <c r="AM9" s="9">
        <f t="shared" si="12"/>
        <v>138</v>
      </c>
      <c r="AN9" s="9">
        <v>138</v>
      </c>
      <c r="AO9" s="9">
        <v>13</v>
      </c>
      <c r="AP9" s="9">
        <f t="shared" si="13"/>
        <v>1057</v>
      </c>
      <c r="AQ9" s="9">
        <v>1070</v>
      </c>
      <c r="AR9" s="9">
        <v>129</v>
      </c>
      <c r="AS9" s="9">
        <f t="shared" si="14"/>
        <v>671</v>
      </c>
      <c r="AT9" s="9">
        <v>800</v>
      </c>
      <c r="AU9" s="9"/>
      <c r="AV9" s="9">
        <f t="shared" si="15"/>
        <v>0</v>
      </c>
      <c r="AW9" s="9"/>
      <c r="AX9" s="9">
        <v>5390</v>
      </c>
      <c r="AY9" s="9">
        <f t="shared" si="16"/>
        <v>15232</v>
      </c>
      <c r="AZ9" s="9">
        <v>20622</v>
      </c>
      <c r="BA9" s="9"/>
      <c r="BB9" s="9">
        <f t="shared" si="17"/>
        <v>121538</v>
      </c>
      <c r="BC9" s="9">
        <v>121538</v>
      </c>
      <c r="BD9" s="9"/>
      <c r="BE9" s="9">
        <f t="shared" si="18"/>
        <v>0</v>
      </c>
      <c r="BF9" s="9"/>
      <c r="BG9" s="9"/>
      <c r="BH9" s="9">
        <f t="shared" si="19"/>
        <v>16</v>
      </c>
      <c r="BI9" s="9">
        <v>16</v>
      </c>
      <c r="BJ9" s="9">
        <v>93</v>
      </c>
      <c r="BK9" s="9">
        <f t="shared" si="20"/>
        <v>8029</v>
      </c>
      <c r="BL9" s="9">
        <v>8122</v>
      </c>
      <c r="BM9" s="9"/>
      <c r="BN9" s="9">
        <f t="shared" si="21"/>
        <v>0</v>
      </c>
      <c r="BO9" s="9"/>
      <c r="BP9" s="9">
        <v>299</v>
      </c>
      <c r="BQ9" s="9">
        <f t="shared" si="22"/>
        <v>3798</v>
      </c>
      <c r="BR9" s="9">
        <v>4097</v>
      </c>
      <c r="BS9" s="9"/>
      <c r="BT9" s="9">
        <f t="shared" si="23"/>
        <v>0</v>
      </c>
      <c r="BU9" s="9"/>
      <c r="BV9" s="9">
        <v>1629</v>
      </c>
      <c r="BW9" s="9">
        <f t="shared" si="24"/>
        <v>2776</v>
      </c>
      <c r="BX9" s="9">
        <v>4405</v>
      </c>
      <c r="BY9" s="9"/>
      <c r="BZ9" s="9">
        <f t="shared" si="25"/>
        <v>10836</v>
      </c>
      <c r="CA9" s="9">
        <v>10836</v>
      </c>
      <c r="CB9" s="9">
        <v>1292</v>
      </c>
      <c r="CC9" s="9">
        <f t="shared" si="26"/>
        <v>32570</v>
      </c>
      <c r="CD9" s="9">
        <v>33862</v>
      </c>
      <c r="CE9" s="9">
        <v>22291</v>
      </c>
      <c r="CF9" s="9">
        <f t="shared" si="27"/>
        <v>18453</v>
      </c>
      <c r="CG9" s="9">
        <v>40744</v>
      </c>
      <c r="CH9" s="9">
        <v>128</v>
      </c>
      <c r="CI9" s="9">
        <f t="shared" si="28"/>
        <v>11189</v>
      </c>
      <c r="CJ9" s="9">
        <v>11317</v>
      </c>
    </row>
    <row r="10" spans="1:88" x14ac:dyDescent="0.25">
      <c r="A10" s="9" t="s">
        <v>166</v>
      </c>
      <c r="B10" s="9"/>
      <c r="C10" s="9">
        <f t="shared" si="0"/>
        <v>1075</v>
      </c>
      <c r="D10" s="9">
        <v>1075</v>
      </c>
      <c r="E10" s="9"/>
      <c r="F10" s="9">
        <f t="shared" si="1"/>
        <v>8180841</v>
      </c>
      <c r="G10" s="9">
        <v>8180841</v>
      </c>
      <c r="H10" s="9"/>
      <c r="I10" s="9">
        <f t="shared" si="2"/>
        <v>13426</v>
      </c>
      <c r="J10" s="9">
        <v>13426</v>
      </c>
      <c r="K10" s="9">
        <v>50263</v>
      </c>
      <c r="L10" s="9">
        <f t="shared" si="3"/>
        <v>45830</v>
      </c>
      <c r="M10" s="9">
        <v>96093</v>
      </c>
      <c r="N10" s="70">
        <v>15932</v>
      </c>
      <c r="O10" s="9">
        <f t="shared" si="4"/>
        <v>16685</v>
      </c>
      <c r="P10" s="70">
        <v>32617</v>
      </c>
      <c r="Q10" s="70">
        <v>27242</v>
      </c>
      <c r="R10" s="9">
        <f t="shared" si="29"/>
        <v>24026</v>
      </c>
      <c r="S10" s="9">
        <v>51268</v>
      </c>
      <c r="T10" s="9"/>
      <c r="U10" s="9">
        <f t="shared" si="6"/>
        <v>694</v>
      </c>
      <c r="V10" s="9">
        <v>694</v>
      </c>
      <c r="W10" s="9"/>
      <c r="X10" s="9">
        <f t="shared" si="7"/>
        <v>456</v>
      </c>
      <c r="Y10" s="9">
        <v>456</v>
      </c>
      <c r="Z10" s="9"/>
      <c r="AA10" s="9">
        <f t="shared" si="8"/>
        <v>22384</v>
      </c>
      <c r="AB10" s="70">
        <v>22384</v>
      </c>
      <c r="AC10" s="9">
        <v>3424</v>
      </c>
      <c r="AD10" s="9">
        <f t="shared" si="9"/>
        <v>4515</v>
      </c>
      <c r="AE10" s="9">
        <v>7939</v>
      </c>
      <c r="AF10" s="9">
        <v>60712</v>
      </c>
      <c r="AG10" s="9">
        <f t="shared" si="10"/>
        <v>151713</v>
      </c>
      <c r="AH10" s="9">
        <v>212425</v>
      </c>
      <c r="AI10" s="70">
        <v>37487</v>
      </c>
      <c r="AJ10" s="9">
        <f t="shared" si="11"/>
        <v>109700</v>
      </c>
      <c r="AK10" s="70">
        <v>147187</v>
      </c>
      <c r="AL10" s="9">
        <v>30</v>
      </c>
      <c r="AM10" s="9">
        <f t="shared" si="12"/>
        <v>399</v>
      </c>
      <c r="AN10" s="9">
        <v>429</v>
      </c>
      <c r="AO10" s="9">
        <v>1284</v>
      </c>
      <c r="AP10" s="9">
        <f t="shared" si="13"/>
        <v>5140</v>
      </c>
      <c r="AQ10" s="9">
        <v>6424</v>
      </c>
      <c r="AR10" s="9">
        <v>4288</v>
      </c>
      <c r="AS10" s="9">
        <f t="shared" si="14"/>
        <v>1506</v>
      </c>
      <c r="AT10" s="9">
        <v>5794</v>
      </c>
      <c r="AU10" s="9"/>
      <c r="AV10" s="9">
        <f t="shared" si="15"/>
        <v>2681</v>
      </c>
      <c r="AW10" s="9">
        <v>2681</v>
      </c>
      <c r="AX10" s="9">
        <v>113434</v>
      </c>
      <c r="AY10" s="9">
        <f t="shared" si="16"/>
        <v>305146</v>
      </c>
      <c r="AZ10" s="9">
        <v>418580</v>
      </c>
      <c r="BA10" s="9">
        <v>156494</v>
      </c>
      <c r="BB10" s="9">
        <f t="shared" si="17"/>
        <v>147867</v>
      </c>
      <c r="BC10" s="9">
        <v>304361</v>
      </c>
      <c r="BD10" s="9">
        <v>5535</v>
      </c>
      <c r="BE10" s="9">
        <f t="shared" si="18"/>
        <v>72503</v>
      </c>
      <c r="BF10" s="9">
        <v>78038</v>
      </c>
      <c r="BG10" s="9">
        <v>33</v>
      </c>
      <c r="BH10" s="9">
        <f t="shared" si="19"/>
        <v>165</v>
      </c>
      <c r="BI10" s="9">
        <v>198</v>
      </c>
      <c r="BJ10" s="9">
        <v>68047</v>
      </c>
      <c r="BK10" s="9">
        <f t="shared" si="20"/>
        <v>67665</v>
      </c>
      <c r="BL10" s="9">
        <v>135712</v>
      </c>
      <c r="BM10" s="9"/>
      <c r="BN10" s="9">
        <f t="shared" si="21"/>
        <v>5544</v>
      </c>
      <c r="BO10" s="9">
        <v>5544</v>
      </c>
      <c r="BP10" s="9">
        <v>21374</v>
      </c>
      <c r="BQ10" s="9">
        <f t="shared" si="22"/>
        <v>12493</v>
      </c>
      <c r="BR10" s="9">
        <v>33867</v>
      </c>
      <c r="BS10" s="9"/>
      <c r="BT10" s="9">
        <f t="shared" si="23"/>
        <v>0</v>
      </c>
      <c r="BU10" s="9"/>
      <c r="BV10" s="9">
        <v>48944</v>
      </c>
      <c r="BW10" s="9">
        <f t="shared" si="24"/>
        <v>8669</v>
      </c>
      <c r="BX10" s="9">
        <v>57613</v>
      </c>
      <c r="BY10" s="9"/>
      <c r="BZ10" s="9">
        <f t="shared" si="25"/>
        <v>29720</v>
      </c>
      <c r="CA10" s="9">
        <v>29720</v>
      </c>
      <c r="CB10" s="9">
        <v>14457</v>
      </c>
      <c r="CC10" s="9">
        <f t="shared" si="26"/>
        <v>20657</v>
      </c>
      <c r="CD10" s="9">
        <v>35114</v>
      </c>
      <c r="CE10" s="9">
        <v>179918</v>
      </c>
      <c r="CF10" s="9">
        <f t="shared" si="27"/>
        <v>399509</v>
      </c>
      <c r="CG10" s="9">
        <v>579427</v>
      </c>
      <c r="CH10" s="9">
        <v>4944</v>
      </c>
      <c r="CI10" s="9">
        <f t="shared" si="28"/>
        <v>4524</v>
      </c>
      <c r="CJ10" s="9">
        <v>9468</v>
      </c>
    </row>
    <row r="11" spans="1:88" x14ac:dyDescent="0.25">
      <c r="A11" s="9" t="s">
        <v>167</v>
      </c>
      <c r="B11" s="9"/>
      <c r="C11" s="9">
        <f t="shared" si="0"/>
        <v>1012</v>
      </c>
      <c r="D11" s="9">
        <v>1012</v>
      </c>
      <c r="E11" s="9"/>
      <c r="F11" s="9">
        <f t="shared" si="1"/>
        <v>3745704</v>
      </c>
      <c r="G11" s="9">
        <v>3745704</v>
      </c>
      <c r="H11" s="9"/>
      <c r="I11" s="9">
        <f t="shared" si="2"/>
        <v>13426</v>
      </c>
      <c r="J11" s="9">
        <v>13426</v>
      </c>
      <c r="K11" s="9">
        <v>3313</v>
      </c>
      <c r="L11" s="9">
        <f t="shared" si="3"/>
        <v>24131</v>
      </c>
      <c r="M11" s="9">
        <v>27444</v>
      </c>
      <c r="N11" s="70">
        <v>980</v>
      </c>
      <c r="O11" s="9">
        <f t="shared" si="4"/>
        <v>12332</v>
      </c>
      <c r="P11" s="70">
        <v>13312</v>
      </c>
      <c r="Q11" s="70">
        <v>4395</v>
      </c>
      <c r="R11" s="9">
        <f t="shared" si="29"/>
        <v>6542</v>
      </c>
      <c r="S11" s="9">
        <v>10937</v>
      </c>
      <c r="T11" s="9"/>
      <c r="U11" s="9">
        <f t="shared" si="6"/>
        <v>667</v>
      </c>
      <c r="V11" s="9">
        <v>667</v>
      </c>
      <c r="W11" s="9"/>
      <c r="X11" s="9">
        <f t="shared" si="7"/>
        <v>171</v>
      </c>
      <c r="Y11" s="9">
        <v>171</v>
      </c>
      <c r="Z11" s="9"/>
      <c r="AA11" s="9">
        <f t="shared" si="8"/>
        <v>10872</v>
      </c>
      <c r="AB11" s="70">
        <v>10872</v>
      </c>
      <c r="AC11" s="9">
        <v>412</v>
      </c>
      <c r="AD11" s="9">
        <f t="shared" si="9"/>
        <v>3662</v>
      </c>
      <c r="AE11" s="9">
        <v>4074</v>
      </c>
      <c r="AF11" s="9">
        <v>5202</v>
      </c>
      <c r="AG11" s="9">
        <f t="shared" si="10"/>
        <v>140056</v>
      </c>
      <c r="AH11" s="9">
        <v>145258</v>
      </c>
      <c r="AI11" s="70">
        <v>3539</v>
      </c>
      <c r="AJ11" s="9">
        <f t="shared" si="11"/>
        <v>56148</v>
      </c>
      <c r="AK11" s="70">
        <v>59687</v>
      </c>
      <c r="AL11" s="9">
        <v>19</v>
      </c>
      <c r="AM11" s="9">
        <f t="shared" si="12"/>
        <v>383</v>
      </c>
      <c r="AN11" s="9">
        <v>402</v>
      </c>
      <c r="AO11" s="9">
        <v>325</v>
      </c>
      <c r="AP11" s="9">
        <f t="shared" si="13"/>
        <v>4058</v>
      </c>
      <c r="AQ11" s="9">
        <v>4383</v>
      </c>
      <c r="AR11" s="9">
        <v>577</v>
      </c>
      <c r="AS11" s="9">
        <f t="shared" si="14"/>
        <v>1080</v>
      </c>
      <c r="AT11" s="9">
        <v>1657</v>
      </c>
      <c r="AU11" s="9"/>
      <c r="AV11" s="9">
        <f t="shared" si="15"/>
        <v>2569</v>
      </c>
      <c r="AW11" s="9">
        <v>2569</v>
      </c>
      <c r="AX11" s="9">
        <v>5519</v>
      </c>
      <c r="AY11" s="9">
        <f t="shared" si="16"/>
        <v>195574</v>
      </c>
      <c r="AZ11" s="9">
        <v>201093</v>
      </c>
      <c r="BA11" s="9">
        <f>5480+2461</f>
        <v>7941</v>
      </c>
      <c r="BB11" s="9">
        <f t="shared" si="17"/>
        <v>115260</v>
      </c>
      <c r="BC11" s="9">
        <f>91528+31673</f>
        <v>123201</v>
      </c>
      <c r="BD11" s="9">
        <v>15368</v>
      </c>
      <c r="BE11" s="9">
        <f t="shared" si="18"/>
        <v>89651</v>
      </c>
      <c r="BF11" s="9">
        <v>105019</v>
      </c>
      <c r="BG11" s="9"/>
      <c r="BH11" s="9">
        <f t="shared" si="19"/>
        <v>9</v>
      </c>
      <c r="BI11" s="9">
        <v>9</v>
      </c>
      <c r="BJ11" s="9">
        <v>3838</v>
      </c>
      <c r="BK11" s="9">
        <f t="shared" si="20"/>
        <v>54928</v>
      </c>
      <c r="BL11" s="9">
        <v>58766</v>
      </c>
      <c r="BM11" s="9"/>
      <c r="BN11" s="9">
        <f t="shared" si="21"/>
        <v>3755</v>
      </c>
      <c r="BO11" s="9">
        <v>3755</v>
      </c>
      <c r="BP11" s="9">
        <v>2060</v>
      </c>
      <c r="BQ11" s="9">
        <f t="shared" si="22"/>
        <v>9387</v>
      </c>
      <c r="BR11" s="9">
        <v>11447</v>
      </c>
      <c r="BS11" s="9"/>
      <c r="BT11" s="9">
        <f t="shared" si="23"/>
        <v>0</v>
      </c>
      <c r="BU11" s="9"/>
      <c r="BV11" s="9">
        <v>4014</v>
      </c>
      <c r="BW11" s="9">
        <f t="shared" si="24"/>
        <v>5393</v>
      </c>
      <c r="BX11" s="9">
        <v>9407</v>
      </c>
      <c r="BY11" s="9"/>
      <c r="BZ11" s="9">
        <f t="shared" si="25"/>
        <v>28242</v>
      </c>
      <c r="CA11" s="9">
        <v>28242</v>
      </c>
      <c r="CB11" s="9">
        <v>1406</v>
      </c>
      <c r="CC11" s="9">
        <f t="shared" si="26"/>
        <v>14883</v>
      </c>
      <c r="CD11" s="9">
        <v>16289</v>
      </c>
      <c r="CE11" s="9">
        <v>22397</v>
      </c>
      <c r="CF11" s="9">
        <f t="shared" si="27"/>
        <v>346890</v>
      </c>
      <c r="CG11" s="9">
        <v>369287</v>
      </c>
      <c r="CH11" s="9">
        <v>495</v>
      </c>
      <c r="CI11" s="9">
        <f t="shared" si="28"/>
        <v>4114</v>
      </c>
      <c r="CJ11" s="9">
        <v>4609</v>
      </c>
    </row>
    <row r="12" spans="1:88" x14ac:dyDescent="0.25">
      <c r="A12" s="9" t="s">
        <v>168</v>
      </c>
      <c r="B12" s="9"/>
      <c r="C12" s="9">
        <f t="shared" si="0"/>
        <v>63</v>
      </c>
      <c r="D12" s="9">
        <v>63</v>
      </c>
      <c r="E12" s="9"/>
      <c r="F12" s="9">
        <f t="shared" si="1"/>
        <v>548991</v>
      </c>
      <c r="G12" s="9">
        <v>548991</v>
      </c>
      <c r="H12" s="9"/>
      <c r="I12" s="9"/>
      <c r="J12" s="9"/>
      <c r="K12" s="9">
        <v>2376</v>
      </c>
      <c r="L12" s="9">
        <f t="shared" si="3"/>
        <v>4313</v>
      </c>
      <c r="M12" s="9">
        <v>6689</v>
      </c>
      <c r="N12" s="70">
        <v>1112</v>
      </c>
      <c r="O12" s="9">
        <f t="shared" si="4"/>
        <v>1702</v>
      </c>
      <c r="P12" s="70">
        <v>2814</v>
      </c>
      <c r="Q12" s="70">
        <v>2624</v>
      </c>
      <c r="R12" s="9">
        <f t="shared" si="29"/>
        <v>1019</v>
      </c>
      <c r="S12" s="70">
        <v>3643</v>
      </c>
      <c r="T12" s="9"/>
      <c r="U12" s="9">
        <f t="shared" si="6"/>
        <v>24</v>
      </c>
      <c r="V12" s="9">
        <v>24</v>
      </c>
      <c r="W12" s="9"/>
      <c r="X12" s="9">
        <f t="shared" si="7"/>
        <v>100</v>
      </c>
      <c r="Y12" s="9">
        <v>100</v>
      </c>
      <c r="Z12" s="9"/>
      <c r="AA12" s="9">
        <f t="shared" si="8"/>
        <v>2073</v>
      </c>
      <c r="AB12" s="70">
        <v>2073</v>
      </c>
      <c r="AC12" s="9">
        <v>393</v>
      </c>
      <c r="AD12" s="9">
        <f t="shared" si="9"/>
        <v>372</v>
      </c>
      <c r="AE12" s="9">
        <v>765</v>
      </c>
      <c r="AF12" s="9">
        <v>4204</v>
      </c>
      <c r="AG12" s="9">
        <f t="shared" si="10"/>
        <v>4767</v>
      </c>
      <c r="AH12" s="9">
        <v>8971</v>
      </c>
      <c r="AI12" s="70">
        <v>3419</v>
      </c>
      <c r="AJ12" s="9">
        <f t="shared" si="11"/>
        <v>29917</v>
      </c>
      <c r="AK12" s="70">
        <v>33336</v>
      </c>
      <c r="AL12" s="9">
        <v>6</v>
      </c>
      <c r="AM12" s="9">
        <f t="shared" si="12"/>
        <v>13</v>
      </c>
      <c r="AN12" s="9">
        <v>19</v>
      </c>
      <c r="AO12" s="9">
        <v>226</v>
      </c>
      <c r="AP12" s="9">
        <f t="shared" si="13"/>
        <v>556</v>
      </c>
      <c r="AQ12" s="9">
        <v>782</v>
      </c>
      <c r="AR12" s="9">
        <v>485</v>
      </c>
      <c r="AS12" s="9">
        <f t="shared" si="14"/>
        <v>207</v>
      </c>
      <c r="AT12" s="9">
        <v>692</v>
      </c>
      <c r="AU12" s="9"/>
      <c r="AV12" s="9">
        <f t="shared" si="15"/>
        <v>63</v>
      </c>
      <c r="AW12" s="9">
        <v>63</v>
      </c>
      <c r="AX12" s="9">
        <v>5237</v>
      </c>
      <c r="AY12" s="9">
        <f t="shared" si="16"/>
        <v>78086</v>
      </c>
      <c r="AZ12" s="9">
        <v>83323</v>
      </c>
      <c r="BA12" s="9">
        <v>7901</v>
      </c>
      <c r="BB12" s="9">
        <f t="shared" si="17"/>
        <v>10831</v>
      </c>
      <c r="BC12" s="9">
        <v>18732</v>
      </c>
      <c r="BD12" s="9">
        <v>7483</v>
      </c>
      <c r="BE12" s="9">
        <f t="shared" si="18"/>
        <v>15864</v>
      </c>
      <c r="BF12" s="9">
        <v>23347</v>
      </c>
      <c r="BG12" s="9">
        <v>1</v>
      </c>
      <c r="BH12" s="9">
        <f t="shared" si="19"/>
        <v>8</v>
      </c>
      <c r="BI12" s="9">
        <v>9</v>
      </c>
      <c r="BJ12" s="9">
        <v>2971</v>
      </c>
      <c r="BK12" s="9">
        <f t="shared" si="20"/>
        <v>3205</v>
      </c>
      <c r="BL12" s="9">
        <v>6176</v>
      </c>
      <c r="BM12" s="9"/>
      <c r="BN12" s="9">
        <f t="shared" si="21"/>
        <v>1208</v>
      </c>
      <c r="BO12" s="9">
        <v>1208</v>
      </c>
      <c r="BP12" s="9">
        <v>1703</v>
      </c>
      <c r="BQ12" s="9">
        <f t="shared" si="22"/>
        <v>1205</v>
      </c>
      <c r="BR12" s="9">
        <v>2908</v>
      </c>
      <c r="BS12" s="9"/>
      <c r="BT12" s="9">
        <f t="shared" si="23"/>
        <v>0</v>
      </c>
      <c r="BU12" s="9"/>
      <c r="BV12" s="9">
        <v>3188</v>
      </c>
      <c r="BW12" s="9">
        <f t="shared" si="24"/>
        <v>650</v>
      </c>
      <c r="BX12" s="9">
        <v>3838</v>
      </c>
      <c r="BY12" s="9"/>
      <c r="BZ12" s="9">
        <f t="shared" si="25"/>
        <v>867</v>
      </c>
      <c r="CA12" s="9">
        <v>867</v>
      </c>
      <c r="CB12" s="9">
        <v>1301</v>
      </c>
      <c r="CC12" s="9">
        <f t="shared" si="26"/>
        <v>2083</v>
      </c>
      <c r="CD12" s="9">
        <v>3384</v>
      </c>
      <c r="CE12" s="9">
        <v>9155</v>
      </c>
      <c r="CF12" s="9">
        <f t="shared" si="27"/>
        <v>24450</v>
      </c>
      <c r="CG12" s="9">
        <v>33605</v>
      </c>
      <c r="CH12" s="9">
        <v>406</v>
      </c>
      <c r="CI12" s="9">
        <f t="shared" si="28"/>
        <v>238</v>
      </c>
      <c r="CJ12" s="9">
        <v>644</v>
      </c>
    </row>
    <row r="13" spans="1:88" x14ac:dyDescent="0.25">
      <c r="A13" s="9" t="s">
        <v>169</v>
      </c>
      <c r="B13" s="9"/>
      <c r="C13" s="9"/>
      <c r="D13" s="9"/>
      <c r="E13" s="9"/>
      <c r="F13" s="9">
        <f t="shared" si="1"/>
        <v>1483517</v>
      </c>
      <c r="G13" s="9">
        <v>1483517</v>
      </c>
      <c r="H13" s="9"/>
      <c r="I13" s="9"/>
      <c r="J13" s="9"/>
      <c r="K13" s="9">
        <v>4844</v>
      </c>
      <c r="L13" s="9">
        <f t="shared" si="3"/>
        <v>4641</v>
      </c>
      <c r="M13" s="9">
        <v>9485</v>
      </c>
      <c r="N13" s="70">
        <v>2144</v>
      </c>
      <c r="O13" s="9">
        <f t="shared" si="4"/>
        <v>994</v>
      </c>
      <c r="P13" s="70">
        <v>3138</v>
      </c>
      <c r="Q13" s="70">
        <v>4123</v>
      </c>
      <c r="R13" s="9">
        <f t="shared" si="29"/>
        <v>783</v>
      </c>
      <c r="S13" s="70">
        <v>4906</v>
      </c>
      <c r="T13" s="9"/>
      <c r="U13" s="9">
        <f t="shared" si="6"/>
        <v>3</v>
      </c>
      <c r="V13" s="9">
        <v>3</v>
      </c>
      <c r="W13" s="9"/>
      <c r="X13" s="9">
        <f t="shared" si="7"/>
        <v>147</v>
      </c>
      <c r="Y13" s="9">
        <v>147</v>
      </c>
      <c r="Z13" s="9"/>
      <c r="AA13" s="9">
        <f t="shared" si="8"/>
        <v>2152</v>
      </c>
      <c r="AB13" s="70">
        <v>2152</v>
      </c>
      <c r="AC13" s="9">
        <v>857</v>
      </c>
      <c r="AD13" s="9">
        <f t="shared" si="9"/>
        <v>318</v>
      </c>
      <c r="AE13" s="9">
        <v>1175</v>
      </c>
      <c r="AF13" s="9">
        <v>7352</v>
      </c>
      <c r="AG13" s="9">
        <f t="shared" si="10"/>
        <v>2308</v>
      </c>
      <c r="AH13" s="9">
        <v>9660</v>
      </c>
      <c r="AI13" s="70">
        <v>7066</v>
      </c>
      <c r="AJ13" s="9">
        <f t="shared" si="11"/>
        <v>17876</v>
      </c>
      <c r="AK13" s="70">
        <v>24942</v>
      </c>
      <c r="AL13" s="9">
        <v>5</v>
      </c>
      <c r="AM13" s="9">
        <f t="shared" si="12"/>
        <v>3</v>
      </c>
      <c r="AN13" s="9">
        <v>8</v>
      </c>
      <c r="AO13" s="9">
        <v>330</v>
      </c>
      <c r="AP13" s="9">
        <f t="shared" si="13"/>
        <v>339</v>
      </c>
      <c r="AQ13" s="9">
        <v>669</v>
      </c>
      <c r="AR13" s="9">
        <v>984</v>
      </c>
      <c r="AS13" s="9">
        <f t="shared" si="14"/>
        <v>148</v>
      </c>
      <c r="AT13" s="9">
        <v>1132</v>
      </c>
      <c r="AU13" s="9"/>
      <c r="AV13" s="9">
        <f t="shared" si="15"/>
        <v>41</v>
      </c>
      <c r="AW13" s="9">
        <v>41</v>
      </c>
      <c r="AX13" s="9">
        <v>10316</v>
      </c>
      <c r="AY13" s="9">
        <f t="shared" si="16"/>
        <v>20020</v>
      </c>
      <c r="AZ13" s="9">
        <v>30336</v>
      </c>
      <c r="BA13" s="9">
        <v>19114</v>
      </c>
      <c r="BB13" s="9">
        <f t="shared" si="17"/>
        <v>10712</v>
      </c>
      <c r="BC13" s="9">
        <v>29826</v>
      </c>
      <c r="BD13" s="9">
        <v>18659</v>
      </c>
      <c r="BE13" s="9">
        <f t="shared" si="18"/>
        <v>16769</v>
      </c>
      <c r="BF13" s="9">
        <v>35428</v>
      </c>
      <c r="BG13" s="9"/>
      <c r="BH13" s="9">
        <f t="shared" si="19"/>
        <v>7</v>
      </c>
      <c r="BI13" s="9">
        <v>7</v>
      </c>
      <c r="BJ13" s="9">
        <v>6454</v>
      </c>
      <c r="BK13" s="9">
        <f t="shared" si="20"/>
        <v>2614</v>
      </c>
      <c r="BL13" s="9">
        <v>9068</v>
      </c>
      <c r="BM13" s="9"/>
      <c r="BN13" s="9">
        <f t="shared" si="21"/>
        <v>581</v>
      </c>
      <c r="BO13" s="9">
        <v>581</v>
      </c>
      <c r="BP13" s="9">
        <v>2590</v>
      </c>
      <c r="BQ13" s="9">
        <f t="shared" si="22"/>
        <v>880</v>
      </c>
      <c r="BR13" s="9">
        <v>3470</v>
      </c>
      <c r="BS13" s="9"/>
      <c r="BT13" s="9">
        <f t="shared" si="23"/>
        <v>0</v>
      </c>
      <c r="BU13" s="9"/>
      <c r="BV13" s="9">
        <v>5652</v>
      </c>
      <c r="BW13" s="9">
        <f t="shared" si="24"/>
        <v>313</v>
      </c>
      <c r="BX13" s="9">
        <v>5965</v>
      </c>
      <c r="BY13" s="9"/>
      <c r="BZ13" s="9">
        <f t="shared" si="25"/>
        <v>479</v>
      </c>
      <c r="CA13" s="9">
        <v>479</v>
      </c>
      <c r="CB13" s="9">
        <v>2643</v>
      </c>
      <c r="CC13" s="9">
        <f t="shared" si="26"/>
        <v>1213</v>
      </c>
      <c r="CD13" s="9">
        <v>3856</v>
      </c>
      <c r="CE13" s="9">
        <v>19396</v>
      </c>
      <c r="CF13" s="9">
        <f t="shared" si="27"/>
        <v>18945</v>
      </c>
      <c r="CG13" s="9">
        <v>38341</v>
      </c>
      <c r="CH13" s="9">
        <v>696</v>
      </c>
      <c r="CI13" s="9">
        <f t="shared" si="28"/>
        <v>41</v>
      </c>
      <c r="CJ13" s="9">
        <v>737</v>
      </c>
    </row>
    <row r="14" spans="1:88" x14ac:dyDescent="0.25">
      <c r="A14" s="9" t="s">
        <v>170</v>
      </c>
      <c r="B14" s="9"/>
      <c r="C14" s="9"/>
      <c r="D14" s="9"/>
      <c r="E14" s="9"/>
      <c r="F14" s="9">
        <f t="shared" si="1"/>
        <v>2402629</v>
      </c>
      <c r="G14" s="9">
        <v>2402629</v>
      </c>
      <c r="H14" s="9"/>
      <c r="I14" s="9"/>
      <c r="J14" s="9"/>
      <c r="K14" s="9">
        <v>39730</v>
      </c>
      <c r="L14" s="9">
        <f t="shared" si="3"/>
        <v>12745</v>
      </c>
      <c r="M14" s="9">
        <v>52475</v>
      </c>
      <c r="N14" s="70">
        <v>11696</v>
      </c>
      <c r="O14" s="9">
        <f t="shared" si="4"/>
        <v>1865</v>
      </c>
      <c r="P14" s="70">
        <v>13561</v>
      </c>
      <c r="Q14" s="70">
        <v>16100</v>
      </c>
      <c r="R14" s="9">
        <f t="shared" si="29"/>
        <v>15682</v>
      </c>
      <c r="S14" s="70">
        <v>31782</v>
      </c>
      <c r="T14" s="9"/>
      <c r="U14" s="9">
        <f t="shared" si="6"/>
        <v>0</v>
      </c>
      <c r="V14" s="9"/>
      <c r="W14" s="9"/>
      <c r="X14" s="9">
        <f t="shared" si="7"/>
        <v>38</v>
      </c>
      <c r="Y14" s="9">
        <v>38</v>
      </c>
      <c r="Z14" s="9"/>
      <c r="AA14" s="9">
        <f t="shared" si="8"/>
        <v>7287</v>
      </c>
      <c r="AB14" s="70">
        <v>7287</v>
      </c>
      <c r="AC14" s="9">
        <v>1762</v>
      </c>
      <c r="AD14" s="9">
        <f t="shared" si="9"/>
        <v>163</v>
      </c>
      <c r="AE14" s="9">
        <v>1925</v>
      </c>
      <c r="AF14" s="9">
        <v>43954</v>
      </c>
      <c r="AG14" s="9">
        <f t="shared" si="10"/>
        <v>4582</v>
      </c>
      <c r="AH14" s="9">
        <v>48536</v>
      </c>
      <c r="AI14" s="70">
        <v>23463</v>
      </c>
      <c r="AJ14" s="9">
        <f t="shared" si="11"/>
        <v>5759</v>
      </c>
      <c r="AK14" s="70">
        <v>29222</v>
      </c>
      <c r="AL14" s="9"/>
      <c r="AM14" s="9">
        <f t="shared" si="12"/>
        <v>0</v>
      </c>
      <c r="AN14" s="9"/>
      <c r="AO14" s="9">
        <v>403</v>
      </c>
      <c r="AP14" s="9">
        <f t="shared" si="13"/>
        <v>187</v>
      </c>
      <c r="AQ14" s="9">
        <v>590</v>
      </c>
      <c r="AR14" s="9">
        <v>2242</v>
      </c>
      <c r="AS14" s="9">
        <f t="shared" si="14"/>
        <v>71</v>
      </c>
      <c r="AT14" s="9">
        <v>2313</v>
      </c>
      <c r="AU14" s="9"/>
      <c r="AV14" s="9">
        <f t="shared" si="15"/>
        <v>8</v>
      </c>
      <c r="AW14" s="9">
        <v>8</v>
      </c>
      <c r="AX14" s="9">
        <v>92362</v>
      </c>
      <c r="AY14" s="9">
        <f t="shared" si="16"/>
        <v>11466</v>
      </c>
      <c r="AZ14" s="9">
        <v>103828</v>
      </c>
      <c r="BA14" s="9">
        <v>121538</v>
      </c>
      <c r="BB14" s="9">
        <f t="shared" si="17"/>
        <v>11064</v>
      </c>
      <c r="BC14" s="9">
        <v>132602</v>
      </c>
      <c r="BD14" s="9">
        <v>86119</v>
      </c>
      <c r="BE14" s="9">
        <f t="shared" si="18"/>
        <v>13735</v>
      </c>
      <c r="BF14" s="9">
        <v>99854</v>
      </c>
      <c r="BG14" s="9"/>
      <c r="BH14" s="9">
        <f t="shared" si="19"/>
        <v>1</v>
      </c>
      <c r="BI14" s="9">
        <v>1</v>
      </c>
      <c r="BJ14" s="9">
        <v>54784</v>
      </c>
      <c r="BK14" s="9">
        <f t="shared" si="20"/>
        <v>6918</v>
      </c>
      <c r="BL14" s="9">
        <v>61702</v>
      </c>
      <c r="BM14" s="9"/>
      <c r="BN14" s="9">
        <f t="shared" si="21"/>
        <v>0</v>
      </c>
      <c r="BO14" s="9"/>
      <c r="BP14" s="9">
        <v>15021</v>
      </c>
      <c r="BQ14" s="9">
        <f t="shared" si="22"/>
        <v>1021</v>
      </c>
      <c r="BR14" s="9">
        <v>16042</v>
      </c>
      <c r="BS14" s="9"/>
      <c r="BT14" s="9">
        <f t="shared" si="23"/>
        <v>0</v>
      </c>
      <c r="BU14" s="9"/>
      <c r="BV14" s="9">
        <v>36090</v>
      </c>
      <c r="BW14" s="9">
        <f t="shared" si="24"/>
        <v>2313</v>
      </c>
      <c r="BX14" s="9">
        <v>38403</v>
      </c>
      <c r="BY14" s="9"/>
      <c r="BZ14" s="9">
        <f t="shared" si="25"/>
        <v>132</v>
      </c>
      <c r="CA14" s="9">
        <v>132</v>
      </c>
      <c r="CB14" s="9">
        <v>9107</v>
      </c>
      <c r="CC14" s="9">
        <f t="shared" si="26"/>
        <v>2478</v>
      </c>
      <c r="CD14" s="9">
        <v>11585</v>
      </c>
      <c r="CE14" s="9">
        <v>128970</v>
      </c>
      <c r="CF14" s="9">
        <f t="shared" si="27"/>
        <v>9224</v>
      </c>
      <c r="CG14" s="9">
        <v>138194</v>
      </c>
      <c r="CH14" s="9">
        <v>3347</v>
      </c>
      <c r="CI14" s="9">
        <f t="shared" si="28"/>
        <v>131</v>
      </c>
      <c r="CJ14" s="9">
        <v>3478</v>
      </c>
    </row>
  </sheetData>
  <mergeCells count="29">
    <mergeCell ref="Z3:AB3"/>
    <mergeCell ref="B3:D3"/>
    <mergeCell ref="E3:G3"/>
    <mergeCell ref="H3:J3"/>
    <mergeCell ref="K3:M3"/>
    <mergeCell ref="N3:P3"/>
    <mergeCell ref="Q3:S3"/>
    <mergeCell ref="T3:V3"/>
    <mergeCell ref="W3:Y3"/>
    <mergeCell ref="BG3:BI3"/>
    <mergeCell ref="AC3:AE3"/>
    <mergeCell ref="AF3:AH3"/>
    <mergeCell ref="AI3:AK3"/>
    <mergeCell ref="AL3:AN3"/>
    <mergeCell ref="AO3:AQ3"/>
    <mergeCell ref="AR3:AT3"/>
    <mergeCell ref="AU3:AW3"/>
    <mergeCell ref="AX3:AZ3"/>
    <mergeCell ref="BA3:BC3"/>
    <mergeCell ref="BD3:BF3"/>
    <mergeCell ref="CB3:CD3"/>
    <mergeCell ref="CE3:CG3"/>
    <mergeCell ref="CH3:CJ3"/>
    <mergeCell ref="BJ3:BL3"/>
    <mergeCell ref="BM3:BO3"/>
    <mergeCell ref="BP3:BR3"/>
    <mergeCell ref="BS3:BU3"/>
    <mergeCell ref="BV3:BX3"/>
    <mergeCell ref="BY3:CA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19" width="16" customWidth="1"/>
    <col min="20" max="20" width="16" style="49" customWidth="1"/>
    <col min="21" max="30" width="16" customWidth="1"/>
  </cols>
  <sheetData>
    <row r="1" spans="1:30" ht="18.75" x14ac:dyDescent="0.3">
      <c r="A1" s="17" t="s">
        <v>136</v>
      </c>
    </row>
    <row r="2" spans="1:30" x14ac:dyDescent="0.25">
      <c r="A2" s="1" t="s">
        <v>0</v>
      </c>
      <c r="B2" s="65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8</v>
      </c>
      <c r="J2" s="65" t="s">
        <v>9</v>
      </c>
      <c r="K2" s="65" t="s">
        <v>10</v>
      </c>
      <c r="L2" s="65" t="s">
        <v>11</v>
      </c>
      <c r="M2" s="65" t="s">
        <v>12</v>
      </c>
      <c r="N2" s="65" t="s">
        <v>13</v>
      </c>
      <c r="O2" s="65" t="s">
        <v>14</v>
      </c>
      <c r="P2" s="65" t="s">
        <v>15</v>
      </c>
      <c r="Q2" s="65" t="s">
        <v>16</v>
      </c>
      <c r="R2" s="65" t="s">
        <v>17</v>
      </c>
      <c r="S2" s="65" t="s">
        <v>18</v>
      </c>
      <c r="T2" s="86" t="s">
        <v>19</v>
      </c>
      <c r="U2" s="65" t="s">
        <v>20</v>
      </c>
      <c r="V2" s="65" t="s">
        <v>21</v>
      </c>
      <c r="W2" s="65" t="s">
        <v>22</v>
      </c>
      <c r="X2" s="65" t="s">
        <v>23</v>
      </c>
      <c r="Y2" s="65" t="s">
        <v>24</v>
      </c>
      <c r="Z2" s="65" t="s">
        <v>25</v>
      </c>
      <c r="AA2" s="65" t="s">
        <v>26</v>
      </c>
      <c r="AB2" s="65" t="s">
        <v>27</v>
      </c>
      <c r="AC2" s="64" t="s">
        <v>28</v>
      </c>
      <c r="AD2" s="65" t="s">
        <v>29</v>
      </c>
    </row>
    <row r="3" spans="1:30" x14ac:dyDescent="0.25">
      <c r="A3" s="11" t="s">
        <v>137</v>
      </c>
      <c r="B3" s="42"/>
      <c r="C3" s="43">
        <v>0.98209999999999997</v>
      </c>
      <c r="D3" s="42">
        <v>0.27</v>
      </c>
      <c r="E3" s="43">
        <v>0.30880000000000002</v>
      </c>
      <c r="F3" s="42">
        <v>0.03</v>
      </c>
      <c r="G3" s="43">
        <v>0.27779999999999999</v>
      </c>
      <c r="H3" s="42">
        <v>0.54</v>
      </c>
      <c r="I3" s="78">
        <v>-4.02E-2</v>
      </c>
      <c r="J3" s="42">
        <v>0.17</v>
      </c>
      <c r="K3" s="42">
        <v>-0.26400000000000001</v>
      </c>
      <c r="L3" s="42">
        <v>0.33</v>
      </c>
      <c r="M3" s="43">
        <v>0.50719999999999998</v>
      </c>
      <c r="N3" s="32">
        <v>21</v>
      </c>
      <c r="O3" s="42">
        <v>0.43</v>
      </c>
      <c r="P3" s="44">
        <v>3.7999999999999999E-2</v>
      </c>
      <c r="Q3" s="42">
        <v>0.25</v>
      </c>
      <c r="R3" s="43">
        <v>0.1883</v>
      </c>
      <c r="S3" s="19">
        <v>21.59</v>
      </c>
      <c r="T3" s="80">
        <v>29.09</v>
      </c>
      <c r="U3" s="42">
        <v>1.0486</v>
      </c>
      <c r="V3" s="74">
        <v>0.41</v>
      </c>
      <c r="W3" s="32">
        <v>0.44</v>
      </c>
      <c r="X3" s="43">
        <v>0.29199999999999998</v>
      </c>
      <c r="Y3" s="43"/>
      <c r="Z3" s="43">
        <v>0.22789999999999999</v>
      </c>
      <c r="AA3" s="42">
        <v>0.47</v>
      </c>
      <c r="AB3" s="42">
        <v>0.41</v>
      </c>
      <c r="AC3" s="43">
        <v>0.31119999999999998</v>
      </c>
      <c r="AD3" s="43">
        <v>0.42430000000000001</v>
      </c>
    </row>
    <row r="4" spans="1:30" ht="15" customHeight="1" x14ac:dyDescent="0.25">
      <c r="A4" s="11" t="s">
        <v>138</v>
      </c>
      <c r="B4" s="42">
        <v>0.37</v>
      </c>
      <c r="C4" s="42"/>
      <c r="D4" s="32"/>
      <c r="E4" s="42">
        <v>2.17</v>
      </c>
      <c r="F4" s="45">
        <v>2.15</v>
      </c>
      <c r="G4" s="70">
        <v>2.91</v>
      </c>
      <c r="H4" s="32"/>
      <c r="I4" s="70"/>
      <c r="J4" s="44"/>
      <c r="K4" s="32">
        <v>2.12</v>
      </c>
      <c r="L4" s="32">
        <v>2.88</v>
      </c>
      <c r="M4" s="32"/>
      <c r="N4" s="32"/>
      <c r="O4" s="32">
        <v>1.8</v>
      </c>
      <c r="P4" s="32">
        <v>1.86</v>
      </c>
      <c r="Q4" s="32"/>
      <c r="R4" s="32"/>
      <c r="S4" s="32"/>
      <c r="T4" s="80"/>
      <c r="U4" s="43">
        <v>0.25609999999999999</v>
      </c>
      <c r="V4" s="32"/>
      <c r="W4" s="32"/>
      <c r="X4" s="32">
        <v>3.38</v>
      </c>
      <c r="Y4" s="32"/>
      <c r="Z4" s="43">
        <v>1.84</v>
      </c>
      <c r="AA4" s="32">
        <v>3.75</v>
      </c>
      <c r="AB4" s="32"/>
      <c r="AC4" s="43">
        <v>4.2084000000000001</v>
      </c>
      <c r="AD4" s="32"/>
    </row>
    <row r="5" spans="1:30" ht="15" customHeight="1" x14ac:dyDescent="0.25">
      <c r="A5" s="11" t="s">
        <v>139</v>
      </c>
      <c r="B5" s="32"/>
      <c r="C5" s="32">
        <v>2.52</v>
      </c>
      <c r="D5" s="32">
        <v>3.2</v>
      </c>
      <c r="E5" s="70"/>
      <c r="F5" s="32"/>
      <c r="G5" s="70"/>
      <c r="H5" s="32">
        <v>2.46</v>
      </c>
      <c r="I5" s="70">
        <v>0.35</v>
      </c>
      <c r="J5" s="32">
        <v>3.04</v>
      </c>
      <c r="K5" s="32"/>
      <c r="L5" s="43"/>
      <c r="M5" s="70"/>
      <c r="N5" s="32">
        <v>0.91</v>
      </c>
      <c r="O5" s="32"/>
      <c r="P5" s="32"/>
      <c r="Q5" s="32">
        <v>2.5499999999999998</v>
      </c>
      <c r="R5" s="32">
        <v>3.78</v>
      </c>
      <c r="S5" s="32">
        <v>1.96</v>
      </c>
      <c r="T5" s="80">
        <v>8.33</v>
      </c>
      <c r="U5" s="32"/>
      <c r="V5" s="32">
        <v>3.13</v>
      </c>
      <c r="W5" s="32">
        <v>3.26</v>
      </c>
      <c r="X5" s="32"/>
      <c r="Y5" s="32"/>
      <c r="Z5" s="43"/>
      <c r="AA5" s="32"/>
      <c r="AB5" s="32">
        <v>3.52</v>
      </c>
      <c r="AC5" s="32"/>
      <c r="AD5" s="32">
        <v>3.64</v>
      </c>
    </row>
    <row r="6" spans="1:30" x14ac:dyDescent="0.25">
      <c r="A6" s="11" t="s">
        <v>140</v>
      </c>
      <c r="B6" s="42"/>
      <c r="C6" s="43">
        <v>0.13250000000000001</v>
      </c>
      <c r="D6" s="42">
        <v>0.48</v>
      </c>
      <c r="E6" s="42"/>
      <c r="F6" s="32"/>
      <c r="G6" s="70"/>
      <c r="H6" s="32"/>
      <c r="I6" s="43">
        <v>0.1036</v>
      </c>
      <c r="J6" s="42">
        <v>0.33</v>
      </c>
      <c r="K6" s="32"/>
      <c r="L6" s="70"/>
      <c r="M6" s="43">
        <v>0.33910000000000001</v>
      </c>
      <c r="N6" s="74">
        <v>-0.28000000000000003</v>
      </c>
      <c r="O6" s="32">
        <v>0.51</v>
      </c>
      <c r="P6" s="42"/>
      <c r="Q6" s="42">
        <v>0.12</v>
      </c>
      <c r="R6" s="43">
        <v>5.5300000000000002E-2</v>
      </c>
      <c r="S6" s="32"/>
      <c r="T6" s="80">
        <v>-50.82</v>
      </c>
      <c r="U6" s="42"/>
      <c r="V6" s="74">
        <v>0.14000000000000001</v>
      </c>
      <c r="W6" s="32">
        <v>0.3</v>
      </c>
      <c r="X6" s="32"/>
      <c r="Y6" s="32"/>
      <c r="Z6" s="43"/>
      <c r="AA6" s="42"/>
      <c r="AB6" s="42">
        <v>0.11</v>
      </c>
      <c r="AC6" s="32"/>
      <c r="AD6" s="43">
        <v>0.1608</v>
      </c>
    </row>
    <row r="7" spans="1:30" x14ac:dyDescent="0.25">
      <c r="A7" s="11" t="s">
        <v>141</v>
      </c>
      <c r="B7" s="42">
        <v>51.02</v>
      </c>
      <c r="C7" s="42"/>
      <c r="D7" s="32"/>
      <c r="E7" s="42">
        <v>0.26</v>
      </c>
      <c r="F7" s="42">
        <v>-0.11</v>
      </c>
      <c r="G7" s="43">
        <v>0.2606</v>
      </c>
      <c r="H7" s="42">
        <v>0.04</v>
      </c>
      <c r="I7" s="70"/>
      <c r="J7" s="32"/>
      <c r="K7" s="43">
        <v>0.1573</v>
      </c>
      <c r="L7" s="42">
        <v>0.17</v>
      </c>
      <c r="M7" s="70"/>
      <c r="N7" s="32"/>
      <c r="O7" s="43"/>
      <c r="P7" s="44">
        <v>2.9000000000000001E-2</v>
      </c>
      <c r="Q7" s="32"/>
      <c r="R7" s="32"/>
      <c r="S7" s="19">
        <v>12.23</v>
      </c>
      <c r="T7" s="80"/>
      <c r="U7" s="43">
        <v>1.17E-2</v>
      </c>
      <c r="V7" s="32"/>
      <c r="W7" s="32"/>
      <c r="X7" s="43">
        <v>0.13200000000000001</v>
      </c>
      <c r="Y7" s="43"/>
      <c r="Z7" s="43">
        <v>0.20150000000000001</v>
      </c>
      <c r="AA7" s="42">
        <v>1.19</v>
      </c>
      <c r="AB7" s="32"/>
      <c r="AC7" s="43">
        <v>-0.33400000000000002</v>
      </c>
      <c r="AD7" s="43"/>
    </row>
    <row r="8" spans="1:30" x14ac:dyDescent="0.25">
      <c r="A8" s="11" t="s">
        <v>142</v>
      </c>
      <c r="B8" s="42">
        <v>0.95</v>
      </c>
      <c r="C8" s="43">
        <v>0.25440000000000002</v>
      </c>
      <c r="D8" s="42">
        <v>0.82</v>
      </c>
      <c r="E8" s="42">
        <v>0.69</v>
      </c>
      <c r="F8" s="42">
        <v>0.88</v>
      </c>
      <c r="G8" s="43">
        <v>0.81789999999999996</v>
      </c>
      <c r="H8" s="42">
        <v>0.94</v>
      </c>
      <c r="I8" s="43">
        <v>0.66239999999999999</v>
      </c>
      <c r="J8" s="42">
        <v>0.61</v>
      </c>
      <c r="K8" s="43">
        <v>0.63460000000000005</v>
      </c>
      <c r="L8" s="42">
        <v>0.6</v>
      </c>
      <c r="M8" s="43">
        <v>0.61429999999999996</v>
      </c>
      <c r="N8" s="42">
        <v>0.9</v>
      </c>
      <c r="O8" s="42">
        <v>0.85</v>
      </c>
      <c r="P8" s="44">
        <v>0.77200000000000002</v>
      </c>
      <c r="Q8" s="42">
        <v>0.95</v>
      </c>
      <c r="R8" s="43">
        <v>0.72450000000000003</v>
      </c>
      <c r="S8" s="19">
        <v>80.760000000000005</v>
      </c>
      <c r="T8" s="80">
        <v>80.239999999999995</v>
      </c>
      <c r="U8" s="43">
        <v>0.74370000000000003</v>
      </c>
      <c r="V8" s="74">
        <v>0.56000000000000005</v>
      </c>
      <c r="W8" s="32">
        <v>0.73</v>
      </c>
      <c r="X8" s="43">
        <v>0.86199999999999999</v>
      </c>
      <c r="Y8" s="43"/>
      <c r="Z8" s="43">
        <v>0.85060000000000002</v>
      </c>
      <c r="AA8" s="42">
        <v>0.77</v>
      </c>
      <c r="AB8" s="42">
        <v>0.68</v>
      </c>
      <c r="AC8" s="43">
        <v>0.81269999999999998</v>
      </c>
      <c r="AD8" s="43">
        <v>0.51529999999999998</v>
      </c>
    </row>
    <row r="9" spans="1:30" x14ac:dyDescent="0.25">
      <c r="A9" s="11" t="s">
        <v>143</v>
      </c>
      <c r="B9" s="42">
        <v>0.06</v>
      </c>
      <c r="C9" s="43">
        <v>-0.33439999999999998</v>
      </c>
      <c r="D9" s="42">
        <v>0.09</v>
      </c>
      <c r="E9" s="42">
        <v>0.01</v>
      </c>
      <c r="F9" s="42">
        <v>0.03</v>
      </c>
      <c r="G9" s="43">
        <v>6.0000000000000001E-3</v>
      </c>
      <c r="H9" s="42">
        <v>0.12</v>
      </c>
      <c r="I9" s="43">
        <v>-8.3400000000000002E-2</v>
      </c>
      <c r="J9" s="42">
        <v>-0.03</v>
      </c>
      <c r="K9" s="43">
        <v>-3.7100000000000001E-2</v>
      </c>
      <c r="L9" s="42">
        <v>-7.0000000000000007E-2</v>
      </c>
      <c r="M9" s="43">
        <v>-5.3800000000000001E-2</v>
      </c>
      <c r="N9" s="42">
        <v>0.05</v>
      </c>
      <c r="O9" s="42">
        <v>0.04</v>
      </c>
      <c r="P9" s="44">
        <v>1.2E-2</v>
      </c>
      <c r="Q9" s="42">
        <v>0.1</v>
      </c>
      <c r="R9" s="43">
        <v>2.7400000000000001E-2</v>
      </c>
      <c r="S9" s="19">
        <v>7.12</v>
      </c>
      <c r="T9" s="80">
        <v>5.42</v>
      </c>
      <c r="U9" s="43">
        <v>0.1036</v>
      </c>
      <c r="V9" s="74">
        <v>-0.08</v>
      </c>
      <c r="W9" s="32">
        <v>-0.08</v>
      </c>
      <c r="X9" s="43">
        <v>3.1E-2</v>
      </c>
      <c r="Y9" s="43"/>
      <c r="Z9" s="43">
        <v>1.01E-2</v>
      </c>
      <c r="AA9" s="42">
        <v>0.04</v>
      </c>
      <c r="AB9" s="42">
        <v>0.02</v>
      </c>
      <c r="AC9" s="43">
        <v>4.6899999999999997E-2</v>
      </c>
      <c r="AD9" s="43">
        <v>-2.2000000000000001E-3</v>
      </c>
    </row>
    <row r="10" spans="1:30" ht="30" x14ac:dyDescent="0.25">
      <c r="A10" s="11" t="s">
        <v>144</v>
      </c>
      <c r="B10" s="42">
        <v>1.64</v>
      </c>
      <c r="C10" s="43">
        <v>2.4400000000000002E-2</v>
      </c>
      <c r="D10" s="42">
        <v>0.38</v>
      </c>
      <c r="E10" s="42">
        <v>0.22</v>
      </c>
      <c r="F10" s="42">
        <v>0.42</v>
      </c>
      <c r="G10" s="43">
        <v>0.26190000000000002</v>
      </c>
      <c r="H10" s="42">
        <v>1.1200000000000001</v>
      </c>
      <c r="I10" s="43">
        <v>0.16189999999999999</v>
      </c>
      <c r="J10" s="42">
        <v>0.28999999999999998</v>
      </c>
      <c r="K10" s="43">
        <v>0.3725</v>
      </c>
      <c r="L10" s="42">
        <v>0.23</v>
      </c>
      <c r="M10" s="43">
        <v>0.19350000000000001</v>
      </c>
      <c r="N10" s="42">
        <v>0.7</v>
      </c>
      <c r="O10" s="42">
        <v>0.59</v>
      </c>
      <c r="P10" s="44">
        <v>0.379</v>
      </c>
      <c r="Q10" s="42">
        <v>0.54</v>
      </c>
      <c r="R10" s="43">
        <v>0.30790000000000001</v>
      </c>
      <c r="S10" s="19">
        <v>24.54</v>
      </c>
      <c r="T10" s="80">
        <v>30.75</v>
      </c>
      <c r="U10" s="43">
        <v>0.37590000000000001</v>
      </c>
      <c r="V10" s="74">
        <v>0.23</v>
      </c>
      <c r="W10" s="32">
        <v>0.56000000000000005</v>
      </c>
      <c r="X10" s="43">
        <v>0.309</v>
      </c>
      <c r="Y10" s="43"/>
      <c r="Z10" s="43">
        <v>0.12280000000000001</v>
      </c>
      <c r="AA10" s="80">
        <v>0.33</v>
      </c>
      <c r="AB10" s="42">
        <v>0.27</v>
      </c>
      <c r="AC10" s="43">
        <v>0.2346</v>
      </c>
      <c r="AD10" s="43">
        <v>0.21329999999999999</v>
      </c>
    </row>
    <row r="11" spans="1:30" ht="30" x14ac:dyDescent="0.25">
      <c r="A11" s="11" t="s">
        <v>145</v>
      </c>
      <c r="B11" s="42"/>
      <c r="C11" s="43">
        <v>9.5600000000000004E-2</v>
      </c>
      <c r="D11" s="42">
        <v>0.46</v>
      </c>
      <c r="E11" s="42"/>
      <c r="F11" s="42"/>
      <c r="G11" s="42"/>
      <c r="H11" s="32"/>
      <c r="I11" s="43">
        <v>0.24429999999999999</v>
      </c>
      <c r="J11" s="42">
        <v>0.47</v>
      </c>
      <c r="K11" s="43">
        <v>0.57699999999999996</v>
      </c>
      <c r="L11" s="42">
        <v>0.37</v>
      </c>
      <c r="M11" s="43">
        <v>0.311</v>
      </c>
      <c r="N11" s="42">
        <v>0.75</v>
      </c>
      <c r="O11" s="42">
        <v>0.69</v>
      </c>
      <c r="P11" s="44">
        <v>0.48599999999999999</v>
      </c>
      <c r="Q11" s="43"/>
      <c r="R11" s="43">
        <v>0.41660000000000003</v>
      </c>
      <c r="S11" s="19">
        <v>28.51</v>
      </c>
      <c r="T11" s="80">
        <v>37.07</v>
      </c>
      <c r="U11" s="42"/>
      <c r="V11" s="74">
        <v>0.41</v>
      </c>
      <c r="W11" s="32">
        <v>0.78</v>
      </c>
      <c r="X11" s="43">
        <v>0.35499999999999998</v>
      </c>
      <c r="Y11" s="32"/>
      <c r="Z11" s="43">
        <v>0.14380000000000001</v>
      </c>
      <c r="AA11" s="42"/>
      <c r="AB11" s="42">
        <v>0.39</v>
      </c>
      <c r="AC11" s="43"/>
      <c r="AD11" s="43">
        <v>0.41270000000000001</v>
      </c>
    </row>
    <row r="12" spans="1:30" ht="15" customHeight="1" x14ac:dyDescent="0.25">
      <c r="A12" s="11" t="s">
        <v>146</v>
      </c>
      <c r="B12" s="42"/>
      <c r="C12" s="43">
        <v>1.1978</v>
      </c>
      <c r="D12" s="42">
        <v>0.55000000000000004</v>
      </c>
      <c r="E12" s="42"/>
      <c r="F12" s="42"/>
      <c r="G12" s="42"/>
      <c r="H12" s="32"/>
      <c r="I12" s="43">
        <v>1.2122999999999999</v>
      </c>
      <c r="J12" s="42">
        <v>0.77</v>
      </c>
      <c r="K12" s="43">
        <v>0.84299999999999997</v>
      </c>
      <c r="L12" s="42">
        <v>0.8</v>
      </c>
      <c r="M12" s="43">
        <v>0.8196</v>
      </c>
      <c r="N12" s="42">
        <v>0.73</v>
      </c>
      <c r="O12" s="42">
        <v>0.79</v>
      </c>
      <c r="P12" s="44">
        <v>0.78700000000000003</v>
      </c>
      <c r="Q12" s="43"/>
      <c r="R12" s="43">
        <v>0.97250000000000003</v>
      </c>
      <c r="S12" s="19">
        <v>91.26</v>
      </c>
      <c r="T12" s="80">
        <v>112.11</v>
      </c>
      <c r="U12" s="42"/>
      <c r="V12" s="74">
        <v>0.92</v>
      </c>
      <c r="W12" s="32">
        <v>0.51</v>
      </c>
      <c r="X12" s="43">
        <v>0.78100000000000003</v>
      </c>
      <c r="Y12" s="32"/>
      <c r="Z12" s="43">
        <v>1.0257000000000001</v>
      </c>
      <c r="AA12" s="42"/>
      <c r="AB12" s="42">
        <v>0.72</v>
      </c>
      <c r="AC12" s="43"/>
      <c r="AD12" s="43">
        <v>0.70909999999999995</v>
      </c>
    </row>
    <row r="13" spans="1:30" ht="15" customHeight="1" x14ac:dyDescent="0.25">
      <c r="A13" s="11" t="s">
        <v>147</v>
      </c>
      <c r="B13" s="42">
        <v>2.83</v>
      </c>
      <c r="C13" s="43">
        <v>0.95720000000000005</v>
      </c>
      <c r="D13" s="42">
        <v>0.97</v>
      </c>
      <c r="E13" s="42">
        <v>0.97</v>
      </c>
      <c r="F13" s="42">
        <v>1.33</v>
      </c>
      <c r="G13" s="43">
        <v>1.0125</v>
      </c>
      <c r="H13" s="42">
        <v>1.67</v>
      </c>
      <c r="I13" s="43">
        <v>1.3692</v>
      </c>
      <c r="J13" s="42">
        <v>1.1399999999999999</v>
      </c>
      <c r="K13" s="43">
        <v>1.3081</v>
      </c>
      <c r="L13" s="42">
        <v>1.04</v>
      </c>
      <c r="M13" s="43">
        <v>1.0293000000000001</v>
      </c>
      <c r="N13" s="42">
        <v>1.47</v>
      </c>
      <c r="O13" s="42">
        <v>1.46</v>
      </c>
      <c r="P13" s="44">
        <v>1.232</v>
      </c>
      <c r="Q13" s="42">
        <v>1.08</v>
      </c>
      <c r="R13" s="43">
        <v>1.3492999999999999</v>
      </c>
      <c r="S13" s="19">
        <v>118.71</v>
      </c>
      <c r="T13" s="80">
        <v>148.13</v>
      </c>
      <c r="U13" s="43">
        <v>0.96240000000000003</v>
      </c>
      <c r="V13" s="74">
        <v>1.2</v>
      </c>
      <c r="W13" s="32">
        <v>1.03</v>
      </c>
      <c r="X13" s="43">
        <v>1.1060000000000001</v>
      </c>
      <c r="Y13" s="43"/>
      <c r="Z13" s="43">
        <v>1.1533</v>
      </c>
      <c r="AA13" s="80">
        <v>0.93</v>
      </c>
      <c r="AB13" s="42">
        <v>1.04</v>
      </c>
      <c r="AC13" s="43">
        <v>1.34</v>
      </c>
      <c r="AD13" s="43">
        <v>1.0541</v>
      </c>
    </row>
    <row r="14" spans="1:30" ht="15" customHeight="1" x14ac:dyDescent="0.25">
      <c r="A14" s="11" t="s">
        <v>148</v>
      </c>
      <c r="B14" s="42">
        <v>0.95</v>
      </c>
      <c r="C14" s="47">
        <v>2.4</v>
      </c>
      <c r="D14" s="32">
        <v>0.56000000000000005</v>
      </c>
      <c r="E14" s="42">
        <v>1.42</v>
      </c>
      <c r="F14" s="32">
        <v>1.93</v>
      </c>
      <c r="G14" s="19">
        <v>1.6</v>
      </c>
      <c r="H14" s="32">
        <v>0.74</v>
      </c>
      <c r="I14" s="70">
        <v>6.36</v>
      </c>
      <c r="J14" s="32">
        <v>1.66</v>
      </c>
      <c r="K14" s="43">
        <v>2.15</v>
      </c>
      <c r="L14" s="70">
        <v>2.3199999999999998</v>
      </c>
      <c r="M14" s="70">
        <v>1.39</v>
      </c>
      <c r="N14" s="32">
        <v>0.85</v>
      </c>
      <c r="O14" s="32">
        <v>1.33</v>
      </c>
      <c r="P14" s="19">
        <v>2.2400000000000002</v>
      </c>
      <c r="Q14" s="32">
        <v>0.59</v>
      </c>
      <c r="R14" s="80">
        <v>1.49</v>
      </c>
      <c r="S14" s="19">
        <v>1.44</v>
      </c>
      <c r="T14" s="80">
        <v>1.59</v>
      </c>
      <c r="U14" s="43">
        <v>1.466</v>
      </c>
      <c r="V14" s="32">
        <v>2.25</v>
      </c>
      <c r="W14" s="32">
        <v>0.66</v>
      </c>
      <c r="X14" s="32">
        <v>1.42</v>
      </c>
      <c r="Y14" s="32"/>
      <c r="Z14" s="43">
        <v>3.2446000000000002</v>
      </c>
      <c r="AA14" s="32">
        <v>0.56999999999999995</v>
      </c>
      <c r="AB14" s="32">
        <v>1.23</v>
      </c>
      <c r="AC14" s="43">
        <v>1.4071</v>
      </c>
      <c r="AD14" s="32">
        <v>1.36</v>
      </c>
    </row>
    <row r="15" spans="1:30" x14ac:dyDescent="0.25">
      <c r="A15" s="11" t="s">
        <v>149</v>
      </c>
      <c r="B15" s="42">
        <v>-6.95</v>
      </c>
      <c r="C15" s="19">
        <v>0.02</v>
      </c>
      <c r="D15" s="32">
        <v>0.11</v>
      </c>
      <c r="E15" s="42">
        <v>0.01</v>
      </c>
      <c r="F15" s="32">
        <v>-0.34</v>
      </c>
      <c r="G15" s="70">
        <v>-0.05</v>
      </c>
      <c r="H15" s="32">
        <v>-0.84</v>
      </c>
      <c r="I15" s="43">
        <v>-0.28220000000000001</v>
      </c>
      <c r="J15" s="32">
        <v>-0.16</v>
      </c>
      <c r="K15" s="43">
        <v>-0.15</v>
      </c>
      <c r="L15" s="70">
        <v>-0.05</v>
      </c>
      <c r="M15" s="43">
        <v>2.64E-2</v>
      </c>
      <c r="N15" s="32">
        <v>-1.45</v>
      </c>
      <c r="O15" s="32">
        <v>-0.6</v>
      </c>
      <c r="P15" s="19">
        <v>-0.23</v>
      </c>
      <c r="Q15" s="19">
        <v>-0.1</v>
      </c>
      <c r="R15" s="80">
        <v>-0.34</v>
      </c>
      <c r="S15" s="19">
        <v>-0.2</v>
      </c>
      <c r="T15" s="80">
        <v>-0.52</v>
      </c>
      <c r="U15" s="43">
        <v>-0.29210000000000003</v>
      </c>
      <c r="V15" s="32">
        <v>-0.22</v>
      </c>
      <c r="W15" s="32">
        <v>-0.08</v>
      </c>
      <c r="X15" s="32">
        <v>-0.14000000000000001</v>
      </c>
      <c r="Y15" s="32"/>
      <c r="Z15" s="43">
        <v>-0.1613</v>
      </c>
      <c r="AA15" s="42">
        <v>0.01</v>
      </c>
      <c r="AB15" s="32">
        <v>-0.11</v>
      </c>
      <c r="AC15" s="43">
        <v>-0.36940000000000001</v>
      </c>
      <c r="AD15" s="32">
        <v>-0.06</v>
      </c>
    </row>
    <row r="16" spans="1:30" x14ac:dyDescent="0.25">
      <c r="A16" s="11" t="s">
        <v>150</v>
      </c>
      <c r="B16" s="42">
        <v>-6.51</v>
      </c>
      <c r="C16" s="43">
        <v>0.15210000000000001</v>
      </c>
      <c r="D16" s="42">
        <v>0.17</v>
      </c>
      <c r="E16" s="42">
        <v>0.16</v>
      </c>
      <c r="F16" s="42">
        <v>-0.11</v>
      </c>
      <c r="G16" s="43">
        <v>0.1053</v>
      </c>
      <c r="H16" s="42">
        <v>-0.75</v>
      </c>
      <c r="I16" s="43">
        <v>0.15840000000000001</v>
      </c>
      <c r="J16" s="42">
        <v>0.02</v>
      </c>
      <c r="K16" s="43">
        <v>2.1000000000000001E-2</v>
      </c>
      <c r="L16" s="42">
        <v>0.11</v>
      </c>
      <c r="M16" s="43">
        <v>0.12939999999999999</v>
      </c>
      <c r="N16" s="42">
        <v>-1.34</v>
      </c>
      <c r="O16" s="42">
        <v>-0.5</v>
      </c>
      <c r="P16" s="44">
        <v>-3.5000000000000003E-2</v>
      </c>
      <c r="Q16" s="42">
        <v>-0.04</v>
      </c>
      <c r="R16" s="43">
        <v>-6.5000000000000002E-2</v>
      </c>
      <c r="S16" s="19">
        <v>-3.12</v>
      </c>
      <c r="T16" s="80">
        <v>-23.98</v>
      </c>
      <c r="U16" s="43">
        <v>-9.1200000000000003E-2</v>
      </c>
      <c r="V16" s="74">
        <v>0.02</v>
      </c>
      <c r="W16" s="32">
        <v>-0.01</v>
      </c>
      <c r="X16" s="43">
        <v>5.0000000000000001E-3</v>
      </c>
      <c r="Y16" s="43"/>
      <c r="Z16" s="43">
        <v>0.1552</v>
      </c>
      <c r="AA16" s="80">
        <v>0.05</v>
      </c>
      <c r="AB16" s="42">
        <v>0.01</v>
      </c>
      <c r="AC16" s="43">
        <v>-0.19409999999999999</v>
      </c>
      <c r="AD16" s="43">
        <v>8.0600000000000005E-2</v>
      </c>
    </row>
    <row r="17" spans="1:30" x14ac:dyDescent="0.25">
      <c r="A17" s="11" t="s">
        <v>151</v>
      </c>
      <c r="B17" s="32">
        <v>1.61</v>
      </c>
      <c r="C17" s="19">
        <v>1.23</v>
      </c>
      <c r="D17" s="32">
        <v>0.45</v>
      </c>
      <c r="E17" s="42">
        <v>0.25</v>
      </c>
      <c r="F17" s="32">
        <v>0.38</v>
      </c>
      <c r="G17" s="70">
        <v>0.19</v>
      </c>
      <c r="H17" s="32">
        <v>0.5</v>
      </c>
      <c r="I17" s="70">
        <v>0.15</v>
      </c>
      <c r="J17" s="32">
        <v>0.14000000000000001</v>
      </c>
      <c r="K17" s="43">
        <v>0.19</v>
      </c>
      <c r="L17" s="70">
        <v>0.14000000000000001</v>
      </c>
      <c r="M17" s="70">
        <v>0.16</v>
      </c>
      <c r="N17" s="45">
        <v>0.33</v>
      </c>
      <c r="O17" s="32">
        <v>0.32</v>
      </c>
      <c r="P17" s="44">
        <v>0.17199999999999999</v>
      </c>
      <c r="Q17" s="42">
        <v>0.71</v>
      </c>
      <c r="R17" s="80">
        <v>0.25</v>
      </c>
      <c r="S17" s="19">
        <v>0.09</v>
      </c>
      <c r="T17" s="80">
        <v>0.24</v>
      </c>
      <c r="U17" s="43">
        <v>1.0477000000000001</v>
      </c>
      <c r="V17" s="32">
        <v>0.31</v>
      </c>
      <c r="W17" s="32">
        <v>0.56999999999999995</v>
      </c>
      <c r="X17" s="32">
        <v>0.28999999999999998</v>
      </c>
      <c r="Y17" s="32"/>
      <c r="Z17" s="43">
        <v>0.124</v>
      </c>
      <c r="AA17" s="80">
        <v>0.27</v>
      </c>
      <c r="AB17" s="32">
        <v>0.24</v>
      </c>
      <c r="AC17" s="43">
        <v>0.18440000000000001</v>
      </c>
      <c r="AD17" s="32">
        <v>0.54</v>
      </c>
    </row>
    <row r="18" spans="1:30" x14ac:dyDescent="0.25">
      <c r="A18" s="11" t="s">
        <v>152</v>
      </c>
      <c r="B18" s="42">
        <v>-1.69</v>
      </c>
      <c r="C18" s="43">
        <v>0.18210000000000001</v>
      </c>
      <c r="D18" s="43">
        <v>0.12379999999999999</v>
      </c>
      <c r="E18" s="42">
        <v>0.14000000000000001</v>
      </c>
      <c r="F18" s="42">
        <v>-0.11</v>
      </c>
      <c r="G18" s="43">
        <v>8.1000000000000003E-2</v>
      </c>
      <c r="H18" s="42">
        <v>-0.65</v>
      </c>
      <c r="I18" s="43">
        <v>0.33600000000000002</v>
      </c>
      <c r="J18" s="42">
        <v>0.04</v>
      </c>
      <c r="K18" s="43">
        <v>-0.17630000000000001</v>
      </c>
      <c r="L18" s="42">
        <v>0.11</v>
      </c>
      <c r="M18" s="43">
        <v>0.12330000000000001</v>
      </c>
      <c r="N18" s="42">
        <v>-0.45</v>
      </c>
      <c r="O18" s="42">
        <v>-0.47</v>
      </c>
      <c r="P18" s="44">
        <v>1.9E-2</v>
      </c>
      <c r="Q18" s="42">
        <v>-0.01</v>
      </c>
      <c r="R18" s="43">
        <v>4.3E-3</v>
      </c>
      <c r="S18" s="19">
        <v>5.42</v>
      </c>
      <c r="T18" s="80">
        <v>-18.34</v>
      </c>
      <c r="U18" s="43">
        <v>5.33E-2</v>
      </c>
      <c r="V18" s="74">
        <v>0.06</v>
      </c>
      <c r="W18" s="32">
        <v>0</v>
      </c>
      <c r="X18" s="43">
        <v>2.3E-2</v>
      </c>
      <c r="Y18" s="43"/>
      <c r="Z18" s="43">
        <v>0.1226</v>
      </c>
      <c r="AA18" s="80">
        <v>0.05</v>
      </c>
      <c r="AB18" s="42">
        <v>0.04</v>
      </c>
      <c r="AC18" s="43">
        <v>-0.1434</v>
      </c>
      <c r="AD18" s="43">
        <v>7.3599999999999999E-2</v>
      </c>
    </row>
    <row r="19" spans="1:30" x14ac:dyDescent="0.25">
      <c r="A19" s="11" t="s">
        <v>153</v>
      </c>
      <c r="B19" s="42">
        <v>-0.6</v>
      </c>
      <c r="C19" s="43">
        <v>0.11700000000000001</v>
      </c>
      <c r="D19" s="43">
        <v>0.32479999999999998</v>
      </c>
      <c r="E19" s="42">
        <v>0.21</v>
      </c>
      <c r="F19" s="42">
        <v>-0.21</v>
      </c>
      <c r="G19" s="43">
        <v>0.19359999999999999</v>
      </c>
      <c r="H19" s="42">
        <v>-1.5</v>
      </c>
      <c r="I19" s="43">
        <v>7.8E-2</v>
      </c>
      <c r="J19" s="42">
        <v>7.0000000000000007E-2</v>
      </c>
      <c r="K19" s="43">
        <v>-0.2414</v>
      </c>
      <c r="L19" s="42">
        <v>0.19</v>
      </c>
      <c r="M19" s="43">
        <v>0.25319999999999998</v>
      </c>
      <c r="N19" s="42">
        <v>-0.38</v>
      </c>
      <c r="O19" s="42">
        <v>-0.6</v>
      </c>
      <c r="P19" s="44">
        <v>2.8000000000000001E-2</v>
      </c>
      <c r="Q19" s="19">
        <v>-0.02</v>
      </c>
      <c r="R19" s="43">
        <v>1.21E-2</v>
      </c>
      <c r="S19" s="19">
        <v>9.14</v>
      </c>
      <c r="T19" s="80">
        <v>-126.72</v>
      </c>
      <c r="U19" s="43">
        <v>1.17E-2</v>
      </c>
      <c r="V19" s="74">
        <v>0.1</v>
      </c>
      <c r="W19" s="32">
        <v>0.01</v>
      </c>
      <c r="X19" s="43">
        <v>6.6400000000000001E-2</v>
      </c>
      <c r="Y19" s="43"/>
      <c r="Z19" s="43">
        <v>0.19309999999999999</v>
      </c>
      <c r="AA19" s="80">
        <v>0.15</v>
      </c>
      <c r="AB19" s="42">
        <v>0.1</v>
      </c>
      <c r="AC19" s="43">
        <v>-0.50129999999999997</v>
      </c>
      <c r="AD19" s="43">
        <v>0.13850000000000001</v>
      </c>
    </row>
    <row r="20" spans="1:30" ht="30" x14ac:dyDescent="0.25">
      <c r="A20" s="11" t="s">
        <v>154</v>
      </c>
      <c r="B20" s="32">
        <v>2.88</v>
      </c>
      <c r="C20" s="32">
        <v>1.84</v>
      </c>
      <c r="D20" s="32">
        <v>1.9</v>
      </c>
      <c r="E20" s="42">
        <v>2.61</v>
      </c>
      <c r="F20" s="19">
        <v>1.65</v>
      </c>
      <c r="G20" s="70">
        <v>1.6359999999999999</v>
      </c>
      <c r="H20" s="32">
        <v>2.65</v>
      </c>
      <c r="I20" s="70">
        <v>8.69</v>
      </c>
      <c r="J20" s="32">
        <v>1.72</v>
      </c>
      <c r="K20" s="32">
        <v>1.67</v>
      </c>
      <c r="L20" s="70">
        <v>2.1</v>
      </c>
      <c r="M20" s="70">
        <v>1.6</v>
      </c>
      <c r="N20" s="32">
        <v>1.8</v>
      </c>
      <c r="O20" s="32">
        <v>2.87</v>
      </c>
      <c r="P20" s="19">
        <v>2.0699999999999998</v>
      </c>
      <c r="Q20" s="32">
        <v>2.0099999999999998</v>
      </c>
      <c r="R20" s="80">
        <v>1.9</v>
      </c>
      <c r="S20" s="19">
        <v>2.19</v>
      </c>
      <c r="T20" s="80">
        <v>1.1100000000000001</v>
      </c>
      <c r="U20" s="19">
        <v>4.45</v>
      </c>
      <c r="V20" s="32">
        <v>1.68</v>
      </c>
      <c r="W20" s="32">
        <v>1.91</v>
      </c>
      <c r="X20" s="32">
        <v>1.69</v>
      </c>
      <c r="Y20" s="32"/>
      <c r="Z20" s="80">
        <v>1.94</v>
      </c>
      <c r="AA20" s="32">
        <v>1.61</v>
      </c>
      <c r="AB20" s="32">
        <v>1.8</v>
      </c>
      <c r="AC20" s="32">
        <v>1.1499999999999999</v>
      </c>
      <c r="AD20" s="32">
        <v>1.57</v>
      </c>
    </row>
    <row r="21" spans="1:30" x14ac:dyDescent="0.25">
      <c r="A21" s="11" t="s">
        <v>155</v>
      </c>
      <c r="B21" s="32"/>
      <c r="C21" s="32"/>
      <c r="D21" s="32"/>
      <c r="E21" s="32"/>
      <c r="F21" s="32"/>
      <c r="G21" s="32"/>
      <c r="H21" s="32"/>
      <c r="I21" s="70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80"/>
      <c r="U21" s="32"/>
      <c r="V21" s="32"/>
      <c r="W21" s="32"/>
      <c r="X21" s="32"/>
      <c r="Y21" s="32"/>
      <c r="Z21" s="43"/>
      <c r="AA21" s="32"/>
      <c r="AB21" s="32"/>
      <c r="AC21" s="32"/>
      <c r="AD21" s="32"/>
    </row>
    <row r="22" spans="1:30" x14ac:dyDescent="0.25">
      <c r="A22" s="11" t="s">
        <v>156</v>
      </c>
      <c r="B22" s="32"/>
      <c r="C22" s="32"/>
      <c r="D22" s="32"/>
      <c r="E22" s="32"/>
      <c r="F22" s="32"/>
      <c r="G22" s="43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>
        <v>0.37</v>
      </c>
      <c r="T22" s="80">
        <v>0.28999999999999998</v>
      </c>
      <c r="U22" s="43"/>
      <c r="V22" s="32"/>
      <c r="W22" s="32"/>
      <c r="X22" s="32"/>
      <c r="Y22" s="32"/>
      <c r="Z22" s="43"/>
      <c r="AA22" s="32"/>
      <c r="AB22" s="32"/>
      <c r="AC22" s="43">
        <v>4.4000000000000003E-3</v>
      </c>
      <c r="AD22" s="32"/>
    </row>
    <row r="23" spans="1:30" x14ac:dyDescent="0.25">
      <c r="A23" s="11" t="s">
        <v>157</v>
      </c>
      <c r="B23" s="32"/>
      <c r="C23" s="32"/>
      <c r="D23" s="32"/>
      <c r="E23" s="32"/>
      <c r="F23" s="32"/>
      <c r="G23" s="43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80"/>
      <c r="U23" s="43"/>
      <c r="V23" s="32"/>
      <c r="W23" s="32"/>
      <c r="X23" s="32"/>
      <c r="Y23" s="32"/>
      <c r="Z23" s="43"/>
      <c r="AA23" s="32"/>
      <c r="AB23" s="32"/>
      <c r="AC23" s="32"/>
      <c r="AD23" s="3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6" customWidth="1"/>
    <col min="2" max="3" width="16" style="49" customWidth="1"/>
    <col min="4" max="30" width="16" style="6" customWidth="1"/>
    <col min="31" max="16384" width="9.140625" style="6"/>
  </cols>
  <sheetData>
    <row r="1" spans="1:30" ht="18.75" x14ac:dyDescent="0.3">
      <c r="A1" s="8" t="s">
        <v>292</v>
      </c>
    </row>
    <row r="2" spans="1:30" x14ac:dyDescent="0.25">
      <c r="A2" s="6" t="s">
        <v>109</v>
      </c>
    </row>
    <row r="3" spans="1:30" x14ac:dyDescent="0.25">
      <c r="A3" s="1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6</v>
      </c>
      <c r="H3" s="85" t="s">
        <v>7</v>
      </c>
      <c r="I3" s="84" t="s">
        <v>8</v>
      </c>
      <c r="J3" s="84" t="s">
        <v>9</v>
      </c>
      <c r="K3" s="85" t="s">
        <v>10</v>
      </c>
      <c r="L3" s="84" t="s">
        <v>11</v>
      </c>
      <c r="M3" s="84" t="s">
        <v>12</v>
      </c>
      <c r="N3" s="84" t="s">
        <v>13</v>
      </c>
      <c r="O3" s="84" t="s">
        <v>14</v>
      </c>
      <c r="P3" s="84" t="s">
        <v>15</v>
      </c>
      <c r="Q3" s="84" t="s">
        <v>16</v>
      </c>
      <c r="R3" s="84" t="s">
        <v>17</v>
      </c>
      <c r="S3" s="84" t="s">
        <v>18</v>
      </c>
      <c r="T3" s="84" t="s">
        <v>19</v>
      </c>
      <c r="U3" s="85" t="s">
        <v>20</v>
      </c>
      <c r="V3" s="85" t="s">
        <v>21</v>
      </c>
      <c r="W3" s="85" t="s">
        <v>22</v>
      </c>
      <c r="X3" s="85" t="s">
        <v>23</v>
      </c>
      <c r="Y3" s="85" t="s">
        <v>24</v>
      </c>
      <c r="Z3" s="85" t="s">
        <v>25</v>
      </c>
      <c r="AA3" s="85" t="s">
        <v>26</v>
      </c>
      <c r="AB3" s="85" t="s">
        <v>27</v>
      </c>
      <c r="AC3" s="85" t="s">
        <v>28</v>
      </c>
      <c r="AD3" s="85" t="s">
        <v>29</v>
      </c>
    </row>
    <row r="4" spans="1:30" ht="15" customHeight="1" x14ac:dyDescent="0.25">
      <c r="A4" s="2" t="s">
        <v>110</v>
      </c>
      <c r="B4" s="19">
        <v>13666.89</v>
      </c>
      <c r="C4" s="19">
        <v>715139.57</v>
      </c>
      <c r="D4" s="9">
        <v>76835</v>
      </c>
      <c r="E4" s="9">
        <v>1012177</v>
      </c>
      <c r="F4" s="9"/>
      <c r="G4" s="9">
        <v>447478.63</v>
      </c>
      <c r="H4" s="9">
        <v>17029.03</v>
      </c>
      <c r="I4" s="9">
        <v>555484.97</v>
      </c>
      <c r="J4" s="9">
        <v>247701</v>
      </c>
      <c r="K4" s="9">
        <v>50774</v>
      </c>
      <c r="L4" s="9">
        <v>1815197</v>
      </c>
      <c r="M4" s="9">
        <v>518136.19</v>
      </c>
      <c r="N4" s="9">
        <v>6979</v>
      </c>
      <c r="O4" s="9">
        <v>59123</v>
      </c>
      <c r="P4" s="9">
        <v>80164</v>
      </c>
      <c r="Q4" s="9">
        <v>34888</v>
      </c>
      <c r="R4" s="9">
        <v>2204220.1500000004</v>
      </c>
      <c r="S4" s="9">
        <v>2908495</v>
      </c>
      <c r="T4" s="9">
        <v>1638099</v>
      </c>
      <c r="U4" s="9">
        <v>10624.25</v>
      </c>
      <c r="V4" s="9">
        <v>602572</v>
      </c>
      <c r="W4" s="9">
        <v>43497.4</v>
      </c>
      <c r="X4" s="70">
        <v>290963</v>
      </c>
      <c r="Y4" s="9"/>
      <c r="Z4" s="9">
        <v>615874.73</v>
      </c>
      <c r="AA4" s="9">
        <v>133839.82</v>
      </c>
      <c r="AB4" s="9">
        <v>426629</v>
      </c>
      <c r="AC4" s="9">
        <v>2418622.64</v>
      </c>
      <c r="AD4" s="9">
        <v>148385.18</v>
      </c>
    </row>
    <row r="5" spans="1:30" ht="15" customHeight="1" x14ac:dyDescent="0.25">
      <c r="A5" s="2" t="s">
        <v>111</v>
      </c>
      <c r="B5" s="19"/>
      <c r="C5" s="1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15" customHeight="1" x14ac:dyDescent="0.25">
      <c r="A6" s="2" t="s">
        <v>112</v>
      </c>
      <c r="B6" s="19">
        <v>4865.28</v>
      </c>
      <c r="C6" s="19">
        <v>337171.20000000001</v>
      </c>
      <c r="D6" s="9"/>
      <c r="E6" s="9">
        <v>752020</v>
      </c>
      <c r="F6" s="9"/>
      <c r="G6" s="9">
        <v>280608.12</v>
      </c>
      <c r="H6" s="9">
        <v>15190.95</v>
      </c>
      <c r="I6" s="9">
        <v>534096.89</v>
      </c>
      <c r="J6" s="9"/>
      <c r="K6" s="9"/>
      <c r="L6" s="9">
        <v>1530981</v>
      </c>
      <c r="M6" s="9">
        <v>481503.73</v>
      </c>
      <c r="N6" s="9"/>
      <c r="O6" s="9">
        <v>55317</v>
      </c>
      <c r="P6" s="9">
        <v>60026</v>
      </c>
      <c r="Q6" s="9">
        <v>33520</v>
      </c>
      <c r="R6" s="9"/>
      <c r="S6" s="9">
        <v>2670044</v>
      </c>
      <c r="T6" s="9">
        <v>1463145</v>
      </c>
      <c r="U6" s="9">
        <v>4987.47</v>
      </c>
      <c r="V6" s="9">
        <v>433862</v>
      </c>
      <c r="W6" s="9">
        <v>34990.400000000001</v>
      </c>
      <c r="X6" s="9"/>
      <c r="Y6" s="9"/>
      <c r="Z6" s="9">
        <v>582603.53</v>
      </c>
      <c r="AA6" s="9"/>
      <c r="AB6" s="9">
        <v>357702</v>
      </c>
      <c r="AC6" s="9">
        <v>1878040.77</v>
      </c>
      <c r="AD6" s="9">
        <v>90166.58</v>
      </c>
    </row>
    <row r="7" spans="1:30" ht="15" customHeight="1" x14ac:dyDescent="0.25">
      <c r="A7" s="2" t="s">
        <v>114</v>
      </c>
      <c r="B7" s="19"/>
      <c r="C7" s="19"/>
      <c r="D7" s="9">
        <v>9869</v>
      </c>
      <c r="E7" s="9"/>
      <c r="F7" s="9"/>
      <c r="G7" s="9"/>
      <c r="H7" s="9"/>
      <c r="I7" s="9"/>
      <c r="J7" s="9">
        <v>39310</v>
      </c>
      <c r="K7" s="9">
        <v>48410</v>
      </c>
      <c r="L7" s="9"/>
      <c r="M7" s="9"/>
      <c r="N7" s="9">
        <v>6483</v>
      </c>
      <c r="O7" s="9"/>
      <c r="P7" s="9"/>
      <c r="Q7" s="9"/>
      <c r="R7" s="9">
        <v>1602726.59</v>
      </c>
      <c r="S7" s="9"/>
      <c r="T7" s="9"/>
      <c r="U7" s="9"/>
      <c r="V7" s="9"/>
      <c r="W7" s="9"/>
      <c r="X7" s="70">
        <v>271256</v>
      </c>
      <c r="Y7" s="9"/>
      <c r="Z7" s="9"/>
      <c r="AA7" s="9">
        <v>3941.77</v>
      </c>
      <c r="AB7" s="9"/>
      <c r="AC7" s="9"/>
      <c r="AD7" s="9"/>
    </row>
    <row r="8" spans="1:30" ht="15" customHeight="1" x14ac:dyDescent="0.25">
      <c r="A8" s="2" t="s">
        <v>115</v>
      </c>
      <c r="B8" s="19"/>
      <c r="C8" s="19">
        <v>88895.85</v>
      </c>
      <c r="D8" s="9">
        <v>50223</v>
      </c>
      <c r="E8" s="9"/>
      <c r="F8" s="9"/>
      <c r="G8" s="9"/>
      <c r="H8" s="9"/>
      <c r="I8" s="9"/>
      <c r="J8" s="9">
        <v>187837</v>
      </c>
      <c r="K8" s="9"/>
      <c r="L8" s="9"/>
      <c r="M8" s="9"/>
      <c r="N8" s="9"/>
      <c r="O8" s="9"/>
      <c r="P8" s="9"/>
      <c r="Q8" s="9"/>
      <c r="R8" s="9">
        <v>552578.78</v>
      </c>
      <c r="S8" s="9"/>
      <c r="T8" s="9"/>
      <c r="U8" s="9"/>
      <c r="V8" s="9"/>
      <c r="W8" s="9"/>
      <c r="X8" s="9"/>
      <c r="Y8" s="9"/>
      <c r="Z8" s="9"/>
      <c r="AA8" s="9">
        <v>129767.62</v>
      </c>
      <c r="AB8" s="9"/>
      <c r="AC8" s="9"/>
      <c r="AD8" s="9"/>
    </row>
    <row r="9" spans="1:30" ht="30" customHeight="1" x14ac:dyDescent="0.25">
      <c r="A9" s="2" t="s">
        <v>113</v>
      </c>
      <c r="B9" s="19">
        <v>7059.77</v>
      </c>
      <c r="C9" s="19">
        <v>449530.37</v>
      </c>
      <c r="D9" s="9">
        <v>12283</v>
      </c>
      <c r="E9" s="9">
        <v>167401</v>
      </c>
      <c r="F9" s="9"/>
      <c r="G9" s="9">
        <v>156173.44</v>
      </c>
      <c r="H9" s="9"/>
      <c r="I9" s="9">
        <v>30659.58</v>
      </c>
      <c r="J9" s="9"/>
      <c r="K9" s="9">
        <v>2364</v>
      </c>
      <c r="L9" s="9">
        <v>295472</v>
      </c>
      <c r="M9" s="9">
        <v>36632.47</v>
      </c>
      <c r="N9" s="9"/>
      <c r="O9" s="9">
        <v>3727</v>
      </c>
      <c r="P9" s="9">
        <v>2672</v>
      </c>
      <c r="Q9" s="9"/>
      <c r="R9" s="9"/>
      <c r="S9" s="9">
        <v>88529</v>
      </c>
      <c r="T9" s="9">
        <v>6807</v>
      </c>
      <c r="U9" s="9">
        <v>3419.21</v>
      </c>
      <c r="V9" s="9">
        <v>105243</v>
      </c>
      <c r="W9" s="9">
        <v>7006.8</v>
      </c>
      <c r="X9" s="9">
        <v>25646</v>
      </c>
      <c r="Y9" s="9"/>
      <c r="Z9" s="9">
        <v>17452.400000000001</v>
      </c>
      <c r="AA9" s="9"/>
      <c r="AB9" s="9">
        <v>66313</v>
      </c>
      <c r="AC9" s="9">
        <v>462180.99</v>
      </c>
      <c r="AD9" s="9">
        <v>55799.61</v>
      </c>
    </row>
    <row r="10" spans="1:30" s="39" customFormat="1" ht="15" customHeight="1" x14ac:dyDescent="0.25">
      <c r="A10" s="14" t="s">
        <v>116</v>
      </c>
      <c r="B10" s="21">
        <v>1741.84</v>
      </c>
      <c r="C10" s="21">
        <v>-160457.85999999999</v>
      </c>
      <c r="D10" s="38">
        <v>4460</v>
      </c>
      <c r="E10" s="38">
        <v>92756</v>
      </c>
      <c r="F10" s="38"/>
      <c r="G10" s="38">
        <v>10697.07</v>
      </c>
      <c r="H10" s="38">
        <v>1838</v>
      </c>
      <c r="I10" s="38">
        <v>-9271.5</v>
      </c>
      <c r="J10" s="38">
        <v>20554</v>
      </c>
      <c r="K10" s="38"/>
      <c r="L10" s="38">
        <v>-11256</v>
      </c>
      <c r="M10" s="38"/>
      <c r="N10" s="38">
        <v>496</v>
      </c>
      <c r="O10" s="38">
        <v>79</v>
      </c>
      <c r="P10" s="38">
        <v>17466</v>
      </c>
      <c r="Q10" s="38">
        <v>1368</v>
      </c>
      <c r="R10" s="38">
        <v>48914.780000000261</v>
      </c>
      <c r="S10" s="38">
        <v>149922</v>
      </c>
      <c r="T10" s="38">
        <v>168147</v>
      </c>
      <c r="U10" s="38">
        <v>2217.5700000000002</v>
      </c>
      <c r="V10" s="38">
        <v>63467</v>
      </c>
      <c r="W10" s="9">
        <v>1500.1</v>
      </c>
      <c r="X10" s="70">
        <v>-5939</v>
      </c>
      <c r="Y10" s="38"/>
      <c r="Z10" s="38">
        <v>15818.81</v>
      </c>
      <c r="AA10" s="38">
        <v>130.43</v>
      </c>
      <c r="AB10" s="38">
        <v>2614</v>
      </c>
      <c r="AC10" s="38">
        <v>78400.88</v>
      </c>
      <c r="AD10" s="38">
        <v>2418.9899999999998</v>
      </c>
    </row>
    <row r="11" spans="1:30" ht="15" customHeight="1" x14ac:dyDescent="0.25">
      <c r="A11" s="2" t="s">
        <v>117</v>
      </c>
      <c r="B11" s="19">
        <v>17493.349999999999</v>
      </c>
      <c r="C11" s="19">
        <v>391532.63</v>
      </c>
      <c r="D11" s="9">
        <v>42962</v>
      </c>
      <c r="E11" s="9">
        <v>248964</v>
      </c>
      <c r="F11" s="9"/>
      <c r="G11" s="9">
        <v>115680.4</v>
      </c>
      <c r="H11" s="9">
        <v>15848.92</v>
      </c>
      <c r="I11" s="9">
        <v>370323.31</v>
      </c>
      <c r="J11" s="9">
        <v>46265</v>
      </c>
      <c r="K11" s="9">
        <v>20047</v>
      </c>
      <c r="L11" s="9">
        <v>411654</v>
      </c>
      <c r="M11" s="9">
        <v>189451.81</v>
      </c>
      <c r="N11" s="9">
        <v>10359</v>
      </c>
      <c r="O11" s="9">
        <v>35497</v>
      </c>
      <c r="P11" s="9">
        <v>23360</v>
      </c>
      <c r="Q11" s="9">
        <v>37033</v>
      </c>
      <c r="R11" s="9">
        <v>568303.20000000007</v>
      </c>
      <c r="S11" s="9">
        <v>1522074</v>
      </c>
      <c r="T11" s="9">
        <v>395290</v>
      </c>
      <c r="U11" s="9">
        <v>20779.669999999998</v>
      </c>
      <c r="V11" s="9">
        <v>149085</v>
      </c>
      <c r="W11" s="9">
        <v>29993.3</v>
      </c>
      <c r="X11" s="9">
        <v>75888</v>
      </c>
      <c r="Y11" s="9"/>
      <c r="Z11" s="9">
        <v>97362.29</v>
      </c>
      <c r="AA11" s="9">
        <v>82030.86</v>
      </c>
      <c r="AB11" s="9">
        <v>145903</v>
      </c>
      <c r="AC11" s="9">
        <v>472737.36</v>
      </c>
      <c r="AD11" s="9">
        <v>34402.6</v>
      </c>
    </row>
    <row r="12" spans="1:30" x14ac:dyDescent="0.25">
      <c r="A12" s="2" t="s">
        <v>111</v>
      </c>
      <c r="B12" s="19"/>
      <c r="C12" s="1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ht="30" customHeight="1" x14ac:dyDescent="0.25">
      <c r="A13" s="2" t="s">
        <v>118</v>
      </c>
      <c r="B13" s="19">
        <v>4831.8999999999996</v>
      </c>
      <c r="C13" s="19"/>
      <c r="D13" s="9">
        <v>9303</v>
      </c>
      <c r="E13" s="9"/>
      <c r="F13" s="9"/>
      <c r="G13" s="9">
        <v>32202.27</v>
      </c>
      <c r="H13" s="9">
        <v>4412.88</v>
      </c>
      <c r="I13" s="9">
        <v>20439.72</v>
      </c>
      <c r="J13" s="9">
        <v>14682</v>
      </c>
      <c r="K13" s="9">
        <v>4115</v>
      </c>
      <c r="L13" s="9">
        <v>19754</v>
      </c>
      <c r="M13" s="9">
        <v>33009.879999999997</v>
      </c>
      <c r="N13" s="9">
        <v>1865</v>
      </c>
      <c r="O13" s="9">
        <v>4865</v>
      </c>
      <c r="P13" s="9">
        <v>4918</v>
      </c>
      <c r="Q13" s="9">
        <v>15749</v>
      </c>
      <c r="R13" s="9"/>
      <c r="S13" s="9">
        <v>558528</v>
      </c>
      <c r="T13" s="9">
        <v>236592</v>
      </c>
      <c r="U13" s="9">
        <v>739.79</v>
      </c>
      <c r="V13" s="9">
        <v>79704</v>
      </c>
      <c r="W13" s="9">
        <v>10655.1</v>
      </c>
      <c r="X13" s="9"/>
      <c r="Y13" s="9"/>
      <c r="Z13" s="9">
        <v>5673.12</v>
      </c>
      <c r="AA13" s="9">
        <v>8608.44</v>
      </c>
      <c r="AB13" s="9">
        <v>20047</v>
      </c>
      <c r="AC13" s="9">
        <v>90336.63</v>
      </c>
      <c r="AD13" s="38">
        <v>5092.18</v>
      </c>
    </row>
    <row r="14" spans="1:30" s="39" customFormat="1" x14ac:dyDescent="0.25">
      <c r="A14" s="14" t="s">
        <v>119</v>
      </c>
      <c r="B14" s="21">
        <v>12661.45</v>
      </c>
      <c r="C14" s="21">
        <v>391532.63</v>
      </c>
      <c r="D14" s="38">
        <v>33659</v>
      </c>
      <c r="E14" s="38">
        <v>248964</v>
      </c>
      <c r="F14" s="38"/>
      <c r="G14" s="38">
        <v>83478.13</v>
      </c>
      <c r="H14" s="38">
        <v>11436.04</v>
      </c>
      <c r="I14" s="38">
        <v>349883.59</v>
      </c>
      <c r="J14" s="38">
        <v>31583</v>
      </c>
      <c r="K14" s="38">
        <v>15932</v>
      </c>
      <c r="L14" s="38">
        <v>391900</v>
      </c>
      <c r="M14" s="38">
        <v>156441.93</v>
      </c>
      <c r="N14" s="38">
        <v>8494</v>
      </c>
      <c r="O14" s="38">
        <v>30632</v>
      </c>
      <c r="P14" s="38">
        <v>18442</v>
      </c>
      <c r="Q14" s="38">
        <v>21284</v>
      </c>
      <c r="R14" s="38">
        <v>568303.20000000007</v>
      </c>
      <c r="S14" s="38">
        <v>963546</v>
      </c>
      <c r="T14" s="38">
        <v>158698</v>
      </c>
      <c r="U14" s="38">
        <v>20039.88</v>
      </c>
      <c r="V14" s="38">
        <v>69380</v>
      </c>
      <c r="W14" s="9">
        <v>19338.3</v>
      </c>
      <c r="X14" s="9">
        <v>75888</v>
      </c>
      <c r="Y14" s="38"/>
      <c r="Z14" s="38">
        <v>91689.17</v>
      </c>
      <c r="AA14" s="38">
        <v>73422.42</v>
      </c>
      <c r="AB14" s="38">
        <v>125856</v>
      </c>
      <c r="AC14" s="38">
        <v>382400.73</v>
      </c>
      <c r="AD14" s="38">
        <v>29310.42</v>
      </c>
    </row>
    <row r="15" spans="1:30" s="7" customFormat="1" ht="15" customHeight="1" x14ac:dyDescent="0.25">
      <c r="A15" s="3" t="s">
        <v>120</v>
      </c>
      <c r="B15" s="36">
        <v>14403.29</v>
      </c>
      <c r="C15" s="36">
        <v>231074.77</v>
      </c>
      <c r="D15" s="10">
        <v>38119</v>
      </c>
      <c r="E15" s="10">
        <v>341720</v>
      </c>
      <c r="F15" s="10"/>
      <c r="G15" s="10">
        <v>94175.2</v>
      </c>
      <c r="H15" s="10">
        <v>13274.11</v>
      </c>
      <c r="I15" s="10">
        <v>340612.09</v>
      </c>
      <c r="J15" s="10">
        <v>52137</v>
      </c>
      <c r="K15" s="10">
        <v>15932</v>
      </c>
      <c r="L15" s="10">
        <v>380644</v>
      </c>
      <c r="M15" s="10">
        <v>156441.93</v>
      </c>
      <c r="N15" s="10">
        <v>8990</v>
      </c>
      <c r="O15" s="10">
        <v>30711</v>
      </c>
      <c r="P15" s="10">
        <v>21115</v>
      </c>
      <c r="Q15" s="10">
        <v>22652</v>
      </c>
      <c r="R15" s="10">
        <v>617217.98000000033</v>
      </c>
      <c r="S15" s="10">
        <v>1113468</v>
      </c>
      <c r="T15" s="10">
        <v>326845</v>
      </c>
      <c r="U15" s="10">
        <v>22257.45</v>
      </c>
      <c r="V15" s="10">
        <v>132848</v>
      </c>
      <c r="W15" s="9">
        <v>20838.3</v>
      </c>
      <c r="X15" s="9">
        <v>69949</v>
      </c>
      <c r="Y15" s="10"/>
      <c r="Z15" s="10">
        <v>107507.98</v>
      </c>
      <c r="AA15" s="10">
        <v>73552.850000000006</v>
      </c>
      <c r="AB15" s="10">
        <v>128470</v>
      </c>
      <c r="AC15" s="10">
        <v>460801.61</v>
      </c>
      <c r="AD15" s="10">
        <v>31729.41</v>
      </c>
    </row>
    <row r="16" spans="1:30" s="7" customFormat="1" ht="14.25" customHeight="1" x14ac:dyDescent="0.25">
      <c r="A16" s="3" t="s">
        <v>121</v>
      </c>
      <c r="B16" s="36">
        <v>5000</v>
      </c>
      <c r="C16" s="36">
        <v>125653.28</v>
      </c>
      <c r="D16" s="10">
        <v>20089</v>
      </c>
      <c r="E16" s="10">
        <v>130828</v>
      </c>
      <c r="F16" s="10"/>
      <c r="G16" s="10">
        <v>57564.6</v>
      </c>
      <c r="H16" s="10">
        <v>5000</v>
      </c>
      <c r="I16" s="10">
        <v>39193.24</v>
      </c>
      <c r="J16" s="10">
        <v>30347</v>
      </c>
      <c r="K16" s="10">
        <v>9537</v>
      </c>
      <c r="L16" s="10">
        <v>181025</v>
      </c>
      <c r="M16" s="10">
        <v>97771.63</v>
      </c>
      <c r="N16" s="10">
        <v>5000</v>
      </c>
      <c r="O16" s="10">
        <v>10691</v>
      </c>
      <c r="P16" s="10">
        <v>10213</v>
      </c>
      <c r="Q16" s="10">
        <v>11278</v>
      </c>
      <c r="R16" s="10">
        <v>324152</v>
      </c>
      <c r="S16" s="10">
        <v>507353</v>
      </c>
      <c r="T16" s="10">
        <v>294827</v>
      </c>
      <c r="U16" s="10">
        <v>5000</v>
      </c>
      <c r="V16" s="10">
        <v>79086</v>
      </c>
      <c r="W16" s="9">
        <v>10891</v>
      </c>
      <c r="X16" s="9">
        <v>41498</v>
      </c>
      <c r="Y16" s="10"/>
      <c r="Z16" s="10">
        <v>55538.29</v>
      </c>
      <c r="AA16" s="10">
        <v>45663.24</v>
      </c>
      <c r="AB16" s="10">
        <v>71913</v>
      </c>
      <c r="AC16" s="10">
        <v>399801.28</v>
      </c>
      <c r="AD16" s="10">
        <v>20158.400000000001</v>
      </c>
    </row>
    <row r="17" spans="1:30" s="37" customFormat="1" ht="14.25" customHeight="1" x14ac:dyDescent="0.25">
      <c r="A17" s="15" t="s">
        <v>122</v>
      </c>
      <c r="B17" s="36">
        <v>2.88</v>
      </c>
      <c r="C17" s="36">
        <v>1.84</v>
      </c>
      <c r="D17" s="36">
        <v>1.9</v>
      </c>
      <c r="E17" s="36">
        <v>2.61</v>
      </c>
      <c r="F17" s="36"/>
      <c r="G17" s="36">
        <v>1.6359999999999999</v>
      </c>
      <c r="H17" s="36">
        <v>2.65</v>
      </c>
      <c r="I17" s="36">
        <v>8.69</v>
      </c>
      <c r="J17" s="36">
        <v>1.72</v>
      </c>
      <c r="K17" s="36">
        <v>1.671</v>
      </c>
      <c r="L17" s="36">
        <v>2.1</v>
      </c>
      <c r="M17" s="36">
        <v>1.6</v>
      </c>
      <c r="N17" s="36">
        <v>1.8</v>
      </c>
      <c r="O17" s="36">
        <v>2.87</v>
      </c>
      <c r="P17" s="36">
        <v>2.0699999999999998</v>
      </c>
      <c r="Q17" s="36">
        <v>2.0099999999999998</v>
      </c>
      <c r="R17" s="36">
        <v>1.9041004837236861</v>
      </c>
      <c r="S17" s="36">
        <v>2.19</v>
      </c>
      <c r="T17" s="36">
        <v>1.1100000000000001</v>
      </c>
      <c r="U17" s="36">
        <v>4.45</v>
      </c>
      <c r="V17" s="36">
        <v>1.68</v>
      </c>
      <c r="W17" s="36">
        <v>1.91</v>
      </c>
      <c r="X17" s="90">
        <v>1.69</v>
      </c>
      <c r="Y17" s="36"/>
      <c r="Z17" s="36">
        <v>1.94</v>
      </c>
      <c r="AA17" s="36">
        <v>1.61</v>
      </c>
      <c r="AB17" s="36">
        <v>1.8</v>
      </c>
      <c r="AC17" s="36">
        <v>1.1499999999999999</v>
      </c>
      <c r="AD17" s="36">
        <v>1.57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"/>
  <sheetViews>
    <sheetView workbookViewId="0">
      <pane xSplit="1" ySplit="3" topLeftCell="BC4" activePane="bottomRight" state="frozen"/>
      <selection pane="topRight" activeCell="B1" sqref="B1"/>
      <selection pane="bottomLeft" activeCell="A4" sqref="A4"/>
      <selection pane="bottomRight" activeCell="BF3" sqref="BF3:BG3"/>
    </sheetView>
  </sheetViews>
  <sheetFormatPr defaultRowHeight="15" x14ac:dyDescent="0.25"/>
  <cols>
    <col min="1" max="1" width="33.140625" style="6" customWidth="1"/>
    <col min="2" max="4" width="16" style="6" customWidth="1"/>
    <col min="5" max="5" width="16" style="49" customWidth="1"/>
    <col min="6" max="61" width="16" style="6" customWidth="1"/>
    <col min="62" max="16384" width="9.140625" style="6"/>
  </cols>
  <sheetData>
    <row r="1" spans="1:61" ht="18.75" x14ac:dyDescent="0.3">
      <c r="A1" s="12" t="s">
        <v>123</v>
      </c>
    </row>
    <row r="2" spans="1:61" x14ac:dyDescent="0.25">
      <c r="A2" s="6" t="s">
        <v>124</v>
      </c>
    </row>
    <row r="3" spans="1:61" x14ac:dyDescent="0.25">
      <c r="A3" s="1" t="s">
        <v>0</v>
      </c>
      <c r="B3" s="99" t="s">
        <v>1</v>
      </c>
      <c r="C3" s="99"/>
      <c r="D3" s="99" t="s">
        <v>2</v>
      </c>
      <c r="E3" s="99"/>
      <c r="F3" s="99" t="s">
        <v>3</v>
      </c>
      <c r="G3" s="99"/>
      <c r="H3" s="99" t="s">
        <v>4</v>
      </c>
      <c r="I3" s="99"/>
      <c r="J3" s="99" t="s">
        <v>5</v>
      </c>
      <c r="K3" s="99"/>
      <c r="L3" s="99" t="s">
        <v>6</v>
      </c>
      <c r="M3" s="99"/>
      <c r="N3" s="99" t="s">
        <v>7</v>
      </c>
      <c r="O3" s="99"/>
      <c r="P3" s="99" t="s">
        <v>8</v>
      </c>
      <c r="Q3" s="99"/>
      <c r="R3" s="99" t="s">
        <v>9</v>
      </c>
      <c r="S3" s="99"/>
      <c r="T3" s="99" t="s">
        <v>10</v>
      </c>
      <c r="U3" s="99"/>
      <c r="V3" s="99" t="s">
        <v>11</v>
      </c>
      <c r="W3" s="99"/>
      <c r="X3" s="99" t="s">
        <v>12</v>
      </c>
      <c r="Y3" s="99"/>
      <c r="Z3" s="99" t="s">
        <v>13</v>
      </c>
      <c r="AA3" s="99"/>
      <c r="AB3" s="99" t="s">
        <v>14</v>
      </c>
      <c r="AC3" s="99"/>
      <c r="AD3" s="99" t="s">
        <v>15</v>
      </c>
      <c r="AE3" s="99"/>
      <c r="AF3" s="99" t="s">
        <v>16</v>
      </c>
      <c r="AG3" s="99"/>
      <c r="AH3" s="99" t="s">
        <v>17</v>
      </c>
      <c r="AI3" s="99"/>
      <c r="AJ3" s="99" t="s">
        <v>18</v>
      </c>
      <c r="AK3" s="99"/>
      <c r="AL3" s="99" t="s">
        <v>19</v>
      </c>
      <c r="AM3" s="99"/>
      <c r="AN3" s="99" t="s">
        <v>20</v>
      </c>
      <c r="AO3" s="99"/>
      <c r="AP3" s="99" t="s">
        <v>21</v>
      </c>
      <c r="AQ3" s="99"/>
      <c r="AR3" s="99" t="s">
        <v>22</v>
      </c>
      <c r="AS3" s="99"/>
      <c r="AT3" s="99" t="s">
        <v>23</v>
      </c>
      <c r="AU3" s="99"/>
      <c r="AV3" s="99" t="s">
        <v>24</v>
      </c>
      <c r="AW3" s="99"/>
      <c r="AX3" s="99" t="s">
        <v>25</v>
      </c>
      <c r="AY3" s="99"/>
      <c r="AZ3" s="99" t="s">
        <v>26</v>
      </c>
      <c r="BA3" s="99"/>
      <c r="BB3" s="99" t="s">
        <v>27</v>
      </c>
      <c r="BC3" s="99"/>
      <c r="BD3" s="91" t="s">
        <v>28</v>
      </c>
      <c r="BE3" s="91"/>
      <c r="BF3" s="99" t="s">
        <v>29</v>
      </c>
      <c r="BG3" s="99"/>
      <c r="BH3" s="99" t="s">
        <v>30</v>
      </c>
      <c r="BI3" s="99"/>
    </row>
    <row r="4" spans="1:61" x14ac:dyDescent="0.25">
      <c r="A4" s="1"/>
      <c r="B4" s="16" t="s">
        <v>134</v>
      </c>
      <c r="C4" s="16" t="s">
        <v>135</v>
      </c>
      <c r="D4" s="16" t="s">
        <v>134</v>
      </c>
      <c r="E4" s="18" t="s">
        <v>135</v>
      </c>
      <c r="F4" s="16" t="s">
        <v>134</v>
      </c>
      <c r="G4" s="16" t="s">
        <v>135</v>
      </c>
      <c r="H4" s="16" t="s">
        <v>134</v>
      </c>
      <c r="I4" s="16" t="s">
        <v>135</v>
      </c>
      <c r="J4" s="16" t="s">
        <v>134</v>
      </c>
      <c r="K4" s="16" t="s">
        <v>135</v>
      </c>
      <c r="L4" s="16" t="s">
        <v>134</v>
      </c>
      <c r="M4" s="16" t="s">
        <v>135</v>
      </c>
      <c r="N4" s="16" t="s">
        <v>134</v>
      </c>
      <c r="O4" s="16" t="s">
        <v>135</v>
      </c>
      <c r="P4" s="16" t="s">
        <v>134</v>
      </c>
      <c r="Q4" s="16" t="s">
        <v>135</v>
      </c>
      <c r="R4" s="16" t="s">
        <v>134</v>
      </c>
      <c r="S4" s="16" t="s">
        <v>135</v>
      </c>
      <c r="T4" s="16" t="s">
        <v>134</v>
      </c>
      <c r="U4" s="16" t="s">
        <v>135</v>
      </c>
      <c r="V4" s="16" t="s">
        <v>134</v>
      </c>
      <c r="W4" s="16" t="s">
        <v>135</v>
      </c>
      <c r="X4" s="16" t="s">
        <v>134</v>
      </c>
      <c r="Y4" s="16" t="s">
        <v>135</v>
      </c>
      <c r="Z4" s="16" t="s">
        <v>134</v>
      </c>
      <c r="AA4" s="16" t="s">
        <v>135</v>
      </c>
      <c r="AB4" s="16" t="s">
        <v>134</v>
      </c>
      <c r="AC4" s="16" t="s">
        <v>135</v>
      </c>
      <c r="AD4" s="16" t="s">
        <v>134</v>
      </c>
      <c r="AE4" s="16" t="s">
        <v>135</v>
      </c>
      <c r="AF4" s="16" t="s">
        <v>134</v>
      </c>
      <c r="AG4" s="16" t="s">
        <v>135</v>
      </c>
      <c r="AH4" s="16" t="s">
        <v>134</v>
      </c>
      <c r="AI4" s="16" t="s">
        <v>135</v>
      </c>
      <c r="AJ4" s="16" t="s">
        <v>134</v>
      </c>
      <c r="AK4" s="16" t="s">
        <v>135</v>
      </c>
      <c r="AL4" s="16" t="s">
        <v>134</v>
      </c>
      <c r="AM4" s="16" t="s">
        <v>135</v>
      </c>
      <c r="AN4" s="16" t="s">
        <v>134</v>
      </c>
      <c r="AO4" s="16" t="s">
        <v>135</v>
      </c>
      <c r="AP4" s="16" t="s">
        <v>134</v>
      </c>
      <c r="AQ4" s="16" t="s">
        <v>135</v>
      </c>
      <c r="AR4" s="16" t="s">
        <v>134</v>
      </c>
      <c r="AS4" s="16" t="s">
        <v>135</v>
      </c>
      <c r="AT4" s="16" t="s">
        <v>134</v>
      </c>
      <c r="AU4" s="16" t="s">
        <v>135</v>
      </c>
      <c r="AV4" s="16" t="s">
        <v>134</v>
      </c>
      <c r="AW4" s="16" t="s">
        <v>135</v>
      </c>
      <c r="AX4" s="16" t="s">
        <v>134</v>
      </c>
      <c r="AY4" s="16" t="s">
        <v>135</v>
      </c>
      <c r="AZ4" s="16" t="s">
        <v>134</v>
      </c>
      <c r="BA4" s="16" t="s">
        <v>135</v>
      </c>
      <c r="BB4" s="16" t="s">
        <v>134</v>
      </c>
      <c r="BC4" s="16" t="s">
        <v>135</v>
      </c>
      <c r="BD4" s="16" t="s">
        <v>134</v>
      </c>
      <c r="BE4" s="16" t="s">
        <v>135</v>
      </c>
      <c r="BF4" s="16" t="s">
        <v>134</v>
      </c>
      <c r="BG4" s="16" t="s">
        <v>135</v>
      </c>
      <c r="BH4" s="16" t="s">
        <v>134</v>
      </c>
      <c r="BI4" s="16" t="s">
        <v>135</v>
      </c>
    </row>
    <row r="5" spans="1:61" x14ac:dyDescent="0.25">
      <c r="A5" s="9" t="s">
        <v>125</v>
      </c>
      <c r="B5" s="9">
        <v>1539</v>
      </c>
      <c r="C5" s="9">
        <v>211</v>
      </c>
      <c r="D5" s="9"/>
      <c r="E5" s="19"/>
      <c r="F5" s="9">
        <v>626684</v>
      </c>
      <c r="G5" s="9">
        <v>66150</v>
      </c>
      <c r="H5" s="9">
        <v>2265483</v>
      </c>
      <c r="I5" s="9">
        <v>141936</v>
      </c>
      <c r="J5" s="9">
        <v>333350</v>
      </c>
      <c r="K5" s="9">
        <v>29079</v>
      </c>
      <c r="L5" s="9">
        <v>95789</v>
      </c>
      <c r="M5" s="9">
        <v>9820</v>
      </c>
      <c r="N5" s="9">
        <v>64346</v>
      </c>
      <c r="O5" s="9">
        <v>6938</v>
      </c>
      <c r="P5" s="9"/>
      <c r="Q5" s="9"/>
      <c r="R5" s="70">
        <v>361453</v>
      </c>
      <c r="S5" s="70">
        <v>40813</v>
      </c>
      <c r="T5" s="9">
        <v>58853</v>
      </c>
      <c r="U5" s="9">
        <v>5588.7</v>
      </c>
      <c r="V5" s="9">
        <v>2532788</v>
      </c>
      <c r="W5" s="9">
        <v>129219</v>
      </c>
      <c r="X5" s="70">
        <v>3280343</v>
      </c>
      <c r="Y5" s="9">
        <v>128197.97</v>
      </c>
      <c r="Z5" s="9">
        <v>344</v>
      </c>
      <c r="AA5" s="9">
        <v>26.47</v>
      </c>
      <c r="AB5" s="9">
        <v>46245</v>
      </c>
      <c r="AC5" s="9">
        <v>5440</v>
      </c>
      <c r="AD5" s="9">
        <v>128788</v>
      </c>
      <c r="AE5" s="9">
        <v>10252</v>
      </c>
      <c r="AF5" s="9">
        <v>173469</v>
      </c>
      <c r="AG5" s="9">
        <v>30194</v>
      </c>
      <c r="AH5" s="9">
        <v>15258537</v>
      </c>
      <c r="AI5" s="9">
        <v>623090.35</v>
      </c>
      <c r="AJ5" s="9">
        <v>3068249</v>
      </c>
      <c r="AK5" s="9">
        <v>212791</v>
      </c>
      <c r="AL5" s="9">
        <v>7669151</v>
      </c>
      <c r="AM5" s="9">
        <v>445812.39</v>
      </c>
      <c r="AN5" s="9">
        <v>337</v>
      </c>
      <c r="AO5" s="9">
        <v>139.87</v>
      </c>
      <c r="AP5" s="9">
        <v>2271375</v>
      </c>
      <c r="AQ5" s="9">
        <v>125038</v>
      </c>
      <c r="AR5" s="9">
        <v>165253</v>
      </c>
      <c r="AS5" s="9">
        <v>21303.3</v>
      </c>
      <c r="AT5" s="9">
        <v>188848</v>
      </c>
      <c r="AU5" s="9">
        <v>20124</v>
      </c>
      <c r="AV5" s="9"/>
      <c r="AW5" s="9"/>
      <c r="AX5" s="9">
        <v>303455</v>
      </c>
      <c r="AY5" s="9">
        <v>18827.259999999998</v>
      </c>
      <c r="AZ5" s="9">
        <v>2375815</v>
      </c>
      <c r="BA5" s="9">
        <v>214352</v>
      </c>
      <c r="BB5" s="9">
        <v>967185</v>
      </c>
      <c r="BC5" s="9">
        <v>99551</v>
      </c>
      <c r="BD5" s="9">
        <v>15139722</v>
      </c>
      <c r="BE5" s="9">
        <v>734026</v>
      </c>
      <c r="BF5" s="9"/>
      <c r="BG5" s="9"/>
      <c r="BH5" s="10">
        <f>B5+D5+F5+H5+J5+L5+N5+P5+R5+T5+V5+X5+Z5+AB5+AD5+AF5+AH5+AJ5+AL5+AN5+AP5+AR5+AT5+AV5+AX5+AZ5+BB5+BD5+BF5</f>
        <v>57377401</v>
      </c>
      <c r="BI5" s="10">
        <f>C5+E5+G5+I5+K5+M5+O5+Q5+S5+U5+W5+Y5+AA5+AC5+AE5+AG5+AI5+AK5+AM5+AO5+AQ5+AS5+AU5+AW5+AY5+BA5+BC5+BE5+BG5</f>
        <v>3118920.31</v>
      </c>
    </row>
    <row r="6" spans="1:61" x14ac:dyDescent="0.25">
      <c r="A6" s="9" t="s">
        <v>126</v>
      </c>
      <c r="B6" s="9"/>
      <c r="C6" s="9"/>
      <c r="D6" s="9"/>
      <c r="E6" s="19"/>
      <c r="F6" s="9">
        <v>38770</v>
      </c>
      <c r="G6" s="9">
        <v>16914</v>
      </c>
      <c r="H6" s="9">
        <v>1374995</v>
      </c>
      <c r="I6" s="9">
        <v>41443</v>
      </c>
      <c r="J6" s="9">
        <v>1624</v>
      </c>
      <c r="K6" s="9">
        <v>112</v>
      </c>
      <c r="L6" s="9">
        <v>740702</v>
      </c>
      <c r="M6" s="9">
        <v>110138</v>
      </c>
      <c r="N6" s="9">
        <v>10598</v>
      </c>
      <c r="O6" s="9">
        <v>1153</v>
      </c>
      <c r="P6" s="9"/>
      <c r="Q6" s="9"/>
      <c r="R6" s="70">
        <v>291790</v>
      </c>
      <c r="S6" s="70">
        <v>4902</v>
      </c>
      <c r="T6" s="9">
        <v>645</v>
      </c>
      <c r="U6" s="9">
        <v>52.4</v>
      </c>
      <c r="V6" s="9">
        <v>677779</v>
      </c>
      <c r="W6" s="9">
        <v>72366</v>
      </c>
      <c r="X6" s="70">
        <v>9001</v>
      </c>
      <c r="Y6" s="9">
        <v>260.73</v>
      </c>
      <c r="Z6" s="9">
        <v>38124</v>
      </c>
      <c r="AA6" s="9">
        <v>3855.24</v>
      </c>
      <c r="AB6" s="9">
        <v>1255</v>
      </c>
      <c r="AC6" s="9">
        <v>111</v>
      </c>
      <c r="AD6" s="9"/>
      <c r="AE6" s="9"/>
      <c r="AF6" s="9">
        <v>26518</v>
      </c>
      <c r="AG6" s="9">
        <v>6057</v>
      </c>
      <c r="AH6" s="9">
        <v>917758</v>
      </c>
      <c r="AI6" s="9">
        <v>31401.3</v>
      </c>
      <c r="AJ6" s="9">
        <v>77542</v>
      </c>
      <c r="AK6" s="9">
        <v>7019</v>
      </c>
      <c r="AL6" s="9">
        <v>386002</v>
      </c>
      <c r="AM6" s="9">
        <v>15957.6</v>
      </c>
      <c r="AN6" s="9"/>
      <c r="AO6" s="9"/>
      <c r="AP6" s="9">
        <v>125977</v>
      </c>
      <c r="AQ6" s="9">
        <v>5761</v>
      </c>
      <c r="AR6" s="9">
        <v>118009</v>
      </c>
      <c r="AS6" s="9">
        <v>19983.8</v>
      </c>
      <c r="AT6" s="9">
        <v>65279</v>
      </c>
      <c r="AU6" s="9">
        <v>7140</v>
      </c>
      <c r="AV6" s="9"/>
      <c r="AW6" s="9"/>
      <c r="AX6" s="9">
        <v>1355</v>
      </c>
      <c r="AY6" s="9">
        <v>55.91</v>
      </c>
      <c r="AZ6" s="9">
        <v>20646</v>
      </c>
      <c r="BA6" s="9">
        <v>1674</v>
      </c>
      <c r="BB6" s="9">
        <v>471199</v>
      </c>
      <c r="BC6" s="9">
        <v>27064</v>
      </c>
      <c r="BD6" s="9">
        <v>1238433</v>
      </c>
      <c r="BE6" s="9">
        <v>62647</v>
      </c>
      <c r="BF6" s="9"/>
      <c r="BG6" s="9"/>
      <c r="BH6" s="10">
        <f t="shared" ref="BH6:BH14" si="0">B6+D6+F6+H6+J6+L6+N6+P6+R6+T6+V6+X6+Z6+AB6+AD6+AF6+AH6+AJ6+AL6+AN6+AP6+AR6+AT6+AV6+AX6+AZ6+BB6+BD6+BF6</f>
        <v>6634001</v>
      </c>
      <c r="BI6" s="10">
        <f t="shared" ref="BI6:BI14" si="1">C6+E6+G6+I6+K6+M6+O6+Q6+S6+U6+W6+Y6+AA6+AC6+AE6+AG6+AI6+AK6+AM6+AO6+AQ6+AS6+AU6+AW6+AY6+BA6+BC6+BE6+BG6</f>
        <v>436067.97999999992</v>
      </c>
    </row>
    <row r="7" spans="1:61" x14ac:dyDescent="0.25">
      <c r="A7" s="9" t="s">
        <v>127</v>
      </c>
      <c r="B7" s="9">
        <v>17</v>
      </c>
      <c r="C7" s="9">
        <v>2</v>
      </c>
      <c r="D7" s="9"/>
      <c r="E7" s="19"/>
      <c r="F7" s="9">
        <v>2205</v>
      </c>
      <c r="G7" s="9">
        <v>198</v>
      </c>
      <c r="H7" s="9">
        <v>2209238</v>
      </c>
      <c r="I7" s="9">
        <v>92356</v>
      </c>
      <c r="J7" s="9">
        <v>22</v>
      </c>
      <c r="K7" s="9">
        <v>2</v>
      </c>
      <c r="L7" s="9">
        <v>605095</v>
      </c>
      <c r="M7" s="9">
        <v>66332</v>
      </c>
      <c r="N7" s="9">
        <v>26653</v>
      </c>
      <c r="O7" s="9">
        <v>4544</v>
      </c>
      <c r="P7" s="9"/>
      <c r="Q7" s="9"/>
      <c r="R7" s="70">
        <v>57654</v>
      </c>
      <c r="S7" s="70">
        <v>3769</v>
      </c>
      <c r="T7" s="9">
        <v>1460</v>
      </c>
      <c r="U7" s="9">
        <v>207.3</v>
      </c>
      <c r="V7" s="9">
        <v>4317133</v>
      </c>
      <c r="W7" s="9">
        <v>81347</v>
      </c>
      <c r="X7" s="70">
        <v>464610</v>
      </c>
      <c r="Y7" s="9">
        <v>17196.48</v>
      </c>
      <c r="Z7" s="9">
        <v>2685</v>
      </c>
      <c r="AA7" s="9">
        <v>640.4</v>
      </c>
      <c r="AB7" s="9">
        <v>1535</v>
      </c>
      <c r="AC7" s="9">
        <v>669</v>
      </c>
      <c r="AD7" s="9">
        <v>167356</v>
      </c>
      <c r="AE7" s="9">
        <v>15296</v>
      </c>
      <c r="AF7" s="9">
        <v>77</v>
      </c>
      <c r="AG7" s="9">
        <v>4102</v>
      </c>
      <c r="AH7" s="9">
        <v>6149125</v>
      </c>
      <c r="AI7" s="9">
        <v>163686.32</v>
      </c>
      <c r="AJ7" s="9">
        <v>8135</v>
      </c>
      <c r="AK7" s="9">
        <v>1098</v>
      </c>
      <c r="AL7" s="9">
        <v>268836</v>
      </c>
      <c r="AM7" s="9">
        <v>8512.7800000000007</v>
      </c>
      <c r="AN7" s="9"/>
      <c r="AO7" s="9"/>
      <c r="AP7" s="9">
        <v>30404</v>
      </c>
      <c r="AQ7" s="9">
        <v>10406</v>
      </c>
      <c r="AR7" s="9">
        <v>10691</v>
      </c>
      <c r="AS7" s="9">
        <v>1532.3</v>
      </c>
      <c r="AT7" s="9">
        <v>195088</v>
      </c>
      <c r="AU7" s="9">
        <v>24447</v>
      </c>
      <c r="AV7" s="9"/>
      <c r="AW7" s="9"/>
      <c r="AX7" s="9">
        <v>678845</v>
      </c>
      <c r="AY7" s="9">
        <v>121517.5</v>
      </c>
      <c r="AZ7" s="9">
        <v>7668</v>
      </c>
      <c r="BA7" s="9">
        <v>660</v>
      </c>
      <c r="BB7" s="9">
        <v>401221</v>
      </c>
      <c r="BC7" s="9">
        <v>11849</v>
      </c>
      <c r="BD7" s="9">
        <v>56963</v>
      </c>
      <c r="BE7" s="9">
        <v>8608</v>
      </c>
      <c r="BF7" s="9"/>
      <c r="BG7" s="9"/>
      <c r="BH7" s="10">
        <f t="shared" si="0"/>
        <v>15662716</v>
      </c>
      <c r="BI7" s="10">
        <f t="shared" si="1"/>
        <v>638978.08000000007</v>
      </c>
    </row>
    <row r="8" spans="1:61" x14ac:dyDescent="0.25">
      <c r="A8" s="9" t="s">
        <v>128</v>
      </c>
      <c r="B8" s="9">
        <v>574</v>
      </c>
      <c r="C8" s="9">
        <v>4577</v>
      </c>
      <c r="D8" s="9">
        <v>2810</v>
      </c>
      <c r="E8" s="19">
        <v>248.55</v>
      </c>
      <c r="F8" s="9">
        <v>68592</v>
      </c>
      <c r="G8" s="9">
        <v>27875</v>
      </c>
      <c r="H8" s="9">
        <v>3220753</v>
      </c>
      <c r="I8" s="9">
        <v>274370</v>
      </c>
      <c r="J8" s="9">
        <v>346902</v>
      </c>
      <c r="K8" s="9">
        <v>51922</v>
      </c>
      <c r="L8" s="9">
        <v>384452</v>
      </c>
      <c r="M8" s="9">
        <v>46124</v>
      </c>
      <c r="N8" s="9">
        <v>28484</v>
      </c>
      <c r="O8" s="9">
        <v>6844</v>
      </c>
      <c r="P8" s="9">
        <v>207</v>
      </c>
      <c r="Q8" s="9">
        <v>6009.9</v>
      </c>
      <c r="R8" s="70">
        <v>222888</v>
      </c>
      <c r="S8" s="70">
        <v>58959</v>
      </c>
      <c r="T8" s="9">
        <v>244957</v>
      </c>
      <c r="U8" s="9">
        <v>13905.1</v>
      </c>
      <c r="V8" s="9">
        <v>5367132</v>
      </c>
      <c r="W8" s="9">
        <v>326592</v>
      </c>
      <c r="X8" s="70">
        <v>1504917</v>
      </c>
      <c r="Y8" s="9">
        <v>180265.94</v>
      </c>
      <c r="Z8" s="9">
        <v>13462</v>
      </c>
      <c r="AA8" s="9">
        <v>1192.8900000000001</v>
      </c>
      <c r="AB8" s="9">
        <v>243289</v>
      </c>
      <c r="AC8" s="9">
        <v>25630</v>
      </c>
      <c r="AD8" s="9">
        <v>42124</v>
      </c>
      <c r="AE8" s="9">
        <v>7442</v>
      </c>
      <c r="AF8" s="9">
        <v>32291</v>
      </c>
      <c r="AG8" s="9">
        <v>5454</v>
      </c>
      <c r="AH8" s="9">
        <v>5081598</v>
      </c>
      <c r="AI8" s="9">
        <v>269985.45</v>
      </c>
      <c r="AJ8" s="9">
        <v>584730</v>
      </c>
      <c r="AK8" s="9">
        <v>121217</v>
      </c>
      <c r="AL8" s="9">
        <v>1447676</v>
      </c>
      <c r="AM8" s="9">
        <v>216683.35</v>
      </c>
      <c r="AN8" s="9">
        <v>10129</v>
      </c>
      <c r="AO8" s="9">
        <v>3900.61</v>
      </c>
      <c r="AP8" s="9">
        <v>719510</v>
      </c>
      <c r="AQ8" s="9">
        <v>74799</v>
      </c>
      <c r="AR8" s="9">
        <v>88086</v>
      </c>
      <c r="AS8" s="9">
        <v>20992.9</v>
      </c>
      <c r="AT8" s="9">
        <v>1057150</v>
      </c>
      <c r="AU8" s="9">
        <v>135988</v>
      </c>
      <c r="AV8" s="9"/>
      <c r="AW8" s="9"/>
      <c r="AX8" s="9">
        <v>85274</v>
      </c>
      <c r="AY8" s="9">
        <v>6641.48</v>
      </c>
      <c r="AZ8" s="9">
        <v>37157</v>
      </c>
      <c r="BA8" s="9">
        <v>22188</v>
      </c>
      <c r="BB8" s="9">
        <v>1281868</v>
      </c>
      <c r="BC8" s="9">
        <v>153037</v>
      </c>
      <c r="BD8" s="9">
        <v>745451</v>
      </c>
      <c r="BE8" s="9">
        <v>430343</v>
      </c>
      <c r="BF8" s="9"/>
      <c r="BG8" s="9"/>
      <c r="BH8" s="10">
        <f t="shared" si="0"/>
        <v>22862463</v>
      </c>
      <c r="BI8" s="10">
        <f t="shared" si="1"/>
        <v>2493187.17</v>
      </c>
    </row>
    <row r="9" spans="1:61" x14ac:dyDescent="0.25">
      <c r="A9" s="9" t="s">
        <v>129</v>
      </c>
      <c r="B9" s="9"/>
      <c r="C9" s="9"/>
      <c r="D9" s="9">
        <v>424</v>
      </c>
      <c r="E9" s="19">
        <v>228.78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70">
        <v>4</v>
      </c>
      <c r="S9" s="9">
        <v>2</v>
      </c>
      <c r="T9" s="9">
        <v>1894</v>
      </c>
      <c r="U9" s="9">
        <v>12.8</v>
      </c>
      <c r="V9" s="9">
        <v>61</v>
      </c>
      <c r="W9" s="9">
        <v>7</v>
      </c>
      <c r="X9" s="70">
        <v>765</v>
      </c>
      <c r="Y9" s="9">
        <v>25.94</v>
      </c>
      <c r="Z9" s="9"/>
      <c r="AA9" s="9"/>
      <c r="AB9" s="9">
        <v>0</v>
      </c>
      <c r="AC9" s="9">
        <v>0</v>
      </c>
      <c r="AD9" s="9"/>
      <c r="AE9" s="9"/>
      <c r="AF9" s="9"/>
      <c r="AG9" s="9"/>
      <c r="AH9" s="9">
        <v>245</v>
      </c>
      <c r="AI9" s="9">
        <v>7</v>
      </c>
      <c r="AJ9" s="9">
        <v>1102</v>
      </c>
      <c r="AK9" s="9">
        <v>27</v>
      </c>
      <c r="AL9" s="9">
        <v>103527</v>
      </c>
      <c r="AM9" s="9">
        <v>8286.1200000000008</v>
      </c>
      <c r="AN9" s="9"/>
      <c r="AO9" s="9"/>
      <c r="AP9" s="9"/>
      <c r="AQ9" s="9"/>
      <c r="AR9" s="9">
        <v>56</v>
      </c>
      <c r="AS9" s="9">
        <v>67.599999999999994</v>
      </c>
      <c r="AT9" s="9">
        <v>99</v>
      </c>
      <c r="AU9" s="9">
        <v>88</v>
      </c>
      <c r="AV9" s="9"/>
      <c r="AW9" s="9"/>
      <c r="AX9" s="9"/>
      <c r="AY9" s="9"/>
      <c r="AZ9" s="9"/>
      <c r="BA9" s="9"/>
      <c r="BB9" s="9"/>
      <c r="BC9" s="9"/>
      <c r="BD9" s="9">
        <v>458</v>
      </c>
      <c r="BE9" s="9">
        <v>25</v>
      </c>
      <c r="BF9" s="9"/>
      <c r="BG9" s="9"/>
      <c r="BH9" s="10">
        <f t="shared" si="0"/>
        <v>108635</v>
      </c>
      <c r="BI9" s="10">
        <f t="shared" si="1"/>
        <v>8777.2400000000016</v>
      </c>
    </row>
    <row r="10" spans="1:61" x14ac:dyDescent="0.25">
      <c r="A10" s="9" t="s">
        <v>130</v>
      </c>
      <c r="B10" s="9">
        <v>368</v>
      </c>
      <c r="C10" s="9">
        <v>614</v>
      </c>
      <c r="D10" s="9">
        <v>32746</v>
      </c>
      <c r="E10" s="19">
        <v>492.24</v>
      </c>
      <c r="F10" s="9">
        <v>119576</v>
      </c>
      <c r="G10" s="9">
        <v>18010</v>
      </c>
      <c r="H10" s="9">
        <v>904046</v>
      </c>
      <c r="I10" s="9">
        <v>213224</v>
      </c>
      <c r="J10" s="9">
        <v>1181749</v>
      </c>
      <c r="K10" s="9">
        <v>46327</v>
      </c>
      <c r="L10" s="9">
        <v>189196</v>
      </c>
      <c r="M10" s="9">
        <v>80921</v>
      </c>
      <c r="N10" s="9">
        <v>20481</v>
      </c>
      <c r="O10" s="9">
        <v>2701</v>
      </c>
      <c r="P10" s="9">
        <v>5485</v>
      </c>
      <c r="Q10" s="9">
        <v>29984.95</v>
      </c>
      <c r="R10" s="70">
        <v>429932</v>
      </c>
      <c r="S10" s="70">
        <v>72728</v>
      </c>
      <c r="T10" s="9">
        <v>151567</v>
      </c>
      <c r="U10" s="9">
        <v>14117.5</v>
      </c>
      <c r="V10" s="9">
        <f>1561790+3275808</f>
        <v>4837598</v>
      </c>
      <c r="W10" s="9">
        <f>21726+441262</f>
        <v>462988</v>
      </c>
      <c r="X10" s="70">
        <v>1862833</v>
      </c>
      <c r="Y10" s="9">
        <v>230422.62</v>
      </c>
      <c r="Z10" s="9">
        <v>35559</v>
      </c>
      <c r="AA10" s="9">
        <v>1670.31</v>
      </c>
      <c r="AB10" s="9">
        <v>388385</v>
      </c>
      <c r="AC10" s="9">
        <v>26609</v>
      </c>
      <c r="AD10" s="9">
        <v>159114</v>
      </c>
      <c r="AE10" s="9">
        <v>8959</v>
      </c>
      <c r="AF10" s="9">
        <v>74670</v>
      </c>
      <c r="AG10" s="9">
        <v>13586</v>
      </c>
      <c r="AH10" s="9">
        <v>603958</v>
      </c>
      <c r="AI10" s="9">
        <v>334722.69</v>
      </c>
      <c r="AJ10" s="9">
        <v>4629141</v>
      </c>
      <c r="AK10" s="9">
        <v>193282</v>
      </c>
      <c r="AL10" s="9">
        <v>1556290</v>
      </c>
      <c r="AM10" s="9">
        <v>384546.22</v>
      </c>
      <c r="AN10" s="9">
        <v>9062</v>
      </c>
      <c r="AO10" s="9">
        <v>1851.14</v>
      </c>
      <c r="AP10" s="9">
        <v>947133</v>
      </c>
      <c r="AQ10" s="9">
        <v>177141</v>
      </c>
      <c r="AR10" s="9">
        <v>111986</v>
      </c>
      <c r="AS10" s="9">
        <v>8726.7999999999993</v>
      </c>
      <c r="AT10" s="9">
        <v>278516</v>
      </c>
      <c r="AU10" s="9">
        <v>31092</v>
      </c>
      <c r="AV10" s="9"/>
      <c r="AW10" s="9"/>
      <c r="AX10" s="9">
        <v>1234913</v>
      </c>
      <c r="AY10" s="9">
        <v>63200.24</v>
      </c>
      <c r="AZ10" s="9">
        <v>562138</v>
      </c>
      <c r="BA10" s="9">
        <v>57133</v>
      </c>
      <c r="BB10" s="9">
        <v>1466894</v>
      </c>
      <c r="BC10" s="9">
        <v>125298</v>
      </c>
      <c r="BD10" s="9">
        <v>1554843</v>
      </c>
      <c r="BE10" s="9">
        <v>370611</v>
      </c>
      <c r="BF10" s="9"/>
      <c r="BG10" s="9"/>
      <c r="BH10" s="10">
        <f t="shared" si="0"/>
        <v>23348179</v>
      </c>
      <c r="BI10" s="10">
        <f t="shared" si="1"/>
        <v>2970958.7100000004</v>
      </c>
    </row>
    <row r="11" spans="1:61" x14ac:dyDescent="0.25">
      <c r="A11" s="9" t="s">
        <v>41</v>
      </c>
      <c r="B11" s="9">
        <f t="shared" ref="B11:BD11" si="2">B12-B10-B9-B8-B7-B6-B5</f>
        <v>0</v>
      </c>
      <c r="C11" s="9">
        <f t="shared" si="2"/>
        <v>0</v>
      </c>
      <c r="D11" s="9">
        <f t="shared" si="2"/>
        <v>189976</v>
      </c>
      <c r="E11" s="19">
        <f t="shared" si="2"/>
        <v>81931.349999999991</v>
      </c>
      <c r="F11" s="9">
        <f t="shared" si="2"/>
        <v>13259</v>
      </c>
      <c r="G11" s="9">
        <f t="shared" si="2"/>
        <v>1046</v>
      </c>
      <c r="H11" s="9">
        <f t="shared" si="2"/>
        <v>0</v>
      </c>
      <c r="I11" s="9">
        <f t="shared" si="2"/>
        <v>-1</v>
      </c>
      <c r="J11" s="9">
        <f t="shared" si="2"/>
        <v>0</v>
      </c>
      <c r="K11" s="9">
        <f t="shared" si="2"/>
        <v>0</v>
      </c>
      <c r="L11" s="9">
        <f t="shared" si="2"/>
        <v>0</v>
      </c>
      <c r="M11" s="9">
        <f t="shared" si="2"/>
        <v>-7</v>
      </c>
      <c r="N11" s="9">
        <f t="shared" si="2"/>
        <v>0</v>
      </c>
      <c r="O11" s="9">
        <f t="shared" si="2"/>
        <v>0</v>
      </c>
      <c r="P11" s="9">
        <f t="shared" si="2"/>
        <v>0</v>
      </c>
      <c r="Q11" s="9">
        <f t="shared" si="2"/>
        <v>0.1499999999996362</v>
      </c>
      <c r="R11" s="9">
        <f t="shared" si="2"/>
        <v>3427</v>
      </c>
      <c r="S11" s="9">
        <f t="shared" si="2"/>
        <v>292</v>
      </c>
      <c r="T11" s="9">
        <f t="shared" si="2"/>
        <v>13934</v>
      </c>
      <c r="U11" s="9">
        <f t="shared" si="2"/>
        <v>959.50000000000364</v>
      </c>
      <c r="V11" s="9">
        <f t="shared" si="2"/>
        <v>0</v>
      </c>
      <c r="W11" s="9">
        <f t="shared" si="2"/>
        <v>1</v>
      </c>
      <c r="X11" s="9">
        <f t="shared" si="2"/>
        <v>0</v>
      </c>
      <c r="Y11" s="9">
        <f t="shared" si="2"/>
        <v>-9.9999999511055648E-3</v>
      </c>
      <c r="Z11" s="9">
        <f t="shared" si="2"/>
        <v>10884</v>
      </c>
      <c r="AA11" s="9">
        <f t="shared" si="2"/>
        <v>819.97000000000139</v>
      </c>
      <c r="AB11" s="9">
        <f t="shared" si="2"/>
        <v>0</v>
      </c>
      <c r="AC11" s="9">
        <f t="shared" si="2"/>
        <v>0.22000000000116415</v>
      </c>
      <c r="AD11" s="9">
        <f t="shared" si="2"/>
        <v>0</v>
      </c>
      <c r="AE11" s="9">
        <f t="shared" si="2"/>
        <v>0</v>
      </c>
      <c r="AF11" s="9">
        <f t="shared" si="2"/>
        <v>0</v>
      </c>
      <c r="AG11" s="9">
        <f t="shared" si="2"/>
        <v>0</v>
      </c>
      <c r="AH11" s="9">
        <f t="shared" si="2"/>
        <v>0</v>
      </c>
      <c r="AI11" s="9">
        <f t="shared" si="2"/>
        <v>0</v>
      </c>
      <c r="AJ11" s="9">
        <f t="shared" si="2"/>
        <v>0</v>
      </c>
      <c r="AK11" s="9">
        <f t="shared" si="2"/>
        <v>1</v>
      </c>
      <c r="AL11" s="9">
        <f t="shared" si="2"/>
        <v>0</v>
      </c>
      <c r="AM11" s="9">
        <f t="shared" si="2"/>
        <v>1.0000000009313226E-2</v>
      </c>
      <c r="AN11" s="9">
        <f t="shared" si="2"/>
        <v>0</v>
      </c>
      <c r="AO11" s="9">
        <f t="shared" si="2"/>
        <v>-5.6843418860808015E-13</v>
      </c>
      <c r="AP11" s="9">
        <f t="shared" si="2"/>
        <v>2539</v>
      </c>
      <c r="AQ11" s="9">
        <f t="shared" si="2"/>
        <v>390</v>
      </c>
      <c r="AR11" s="9">
        <f t="shared" si="2"/>
        <v>0</v>
      </c>
      <c r="AS11" s="9">
        <f t="shared" si="2"/>
        <v>0</v>
      </c>
      <c r="AT11" s="9">
        <f t="shared" si="2"/>
        <v>0</v>
      </c>
      <c r="AU11" s="9">
        <f t="shared" si="2"/>
        <v>-1</v>
      </c>
      <c r="AV11" s="9">
        <f t="shared" si="2"/>
        <v>0</v>
      </c>
      <c r="AW11" s="9">
        <f t="shared" si="2"/>
        <v>0</v>
      </c>
      <c r="AX11" s="9">
        <f t="shared" si="2"/>
        <v>0</v>
      </c>
      <c r="AY11" s="9">
        <f t="shared" si="2"/>
        <v>9.9999999947613105E-3</v>
      </c>
      <c r="AZ11" s="9">
        <f t="shared" si="2"/>
        <v>0</v>
      </c>
      <c r="BA11" s="9">
        <f t="shared" si="2"/>
        <v>-2</v>
      </c>
      <c r="BB11" s="9">
        <f t="shared" si="2"/>
        <v>0</v>
      </c>
      <c r="BC11" s="9">
        <f t="shared" si="2"/>
        <v>-2</v>
      </c>
      <c r="BD11" s="9">
        <f t="shared" si="2"/>
        <v>1167</v>
      </c>
      <c r="BE11" s="9">
        <f t="shared" ref="BE11:BG11" si="3">BE12-BE10-BE9-BE8-BE7-BE6-BE5</f>
        <v>23</v>
      </c>
      <c r="BF11" s="9">
        <f t="shared" si="3"/>
        <v>0</v>
      </c>
      <c r="BG11" s="9">
        <f t="shared" si="3"/>
        <v>0</v>
      </c>
      <c r="BH11" s="10">
        <f t="shared" si="0"/>
        <v>235186</v>
      </c>
      <c r="BI11" s="10">
        <f t="shared" si="1"/>
        <v>85451.200000000041</v>
      </c>
    </row>
    <row r="12" spans="1:61" s="7" customFormat="1" x14ac:dyDescent="0.25">
      <c r="A12" s="10" t="s">
        <v>131</v>
      </c>
      <c r="B12" s="10">
        <v>2498</v>
      </c>
      <c r="C12" s="10">
        <v>5404</v>
      </c>
      <c r="D12" s="10">
        <v>225956</v>
      </c>
      <c r="E12" s="36">
        <v>82900.92</v>
      </c>
      <c r="F12" s="10">
        <v>869086</v>
      </c>
      <c r="G12" s="10">
        <v>130193</v>
      </c>
      <c r="H12" s="10">
        <v>9974515</v>
      </c>
      <c r="I12" s="10">
        <v>763328</v>
      </c>
      <c r="J12" s="10">
        <v>1863647</v>
      </c>
      <c r="K12" s="10">
        <v>127442</v>
      </c>
      <c r="L12" s="10">
        <v>2015234</v>
      </c>
      <c r="M12" s="10">
        <v>313328</v>
      </c>
      <c r="N12" s="10">
        <v>150562</v>
      </c>
      <c r="O12" s="10">
        <v>22180</v>
      </c>
      <c r="P12" s="10">
        <v>5692</v>
      </c>
      <c r="Q12" s="10">
        <v>35995</v>
      </c>
      <c r="R12" s="10">
        <v>1367148</v>
      </c>
      <c r="S12" s="10">
        <v>181465</v>
      </c>
      <c r="T12" s="10">
        <v>473310</v>
      </c>
      <c r="U12" s="10">
        <v>34843.300000000003</v>
      </c>
      <c r="V12" s="10">
        <v>17732491</v>
      </c>
      <c r="W12" s="10">
        <v>1072520</v>
      </c>
      <c r="X12" s="10">
        <v>7122469</v>
      </c>
      <c r="Y12" s="10">
        <v>556369.67000000004</v>
      </c>
      <c r="Z12" s="10">
        <v>101058</v>
      </c>
      <c r="AA12" s="10">
        <v>8205.2800000000007</v>
      </c>
      <c r="AB12" s="10">
        <v>680709</v>
      </c>
      <c r="AC12" s="10">
        <v>58459.22</v>
      </c>
      <c r="AD12" s="10">
        <v>497382</v>
      </c>
      <c r="AE12" s="10">
        <v>41949</v>
      </c>
      <c r="AF12" s="10">
        <v>307025</v>
      </c>
      <c r="AG12" s="10">
        <v>59393</v>
      </c>
      <c r="AH12" s="10">
        <v>28011221</v>
      </c>
      <c r="AI12" s="10">
        <v>1422893.11</v>
      </c>
      <c r="AJ12" s="10">
        <v>8368899</v>
      </c>
      <c r="AK12" s="10">
        <v>535435</v>
      </c>
      <c r="AL12" s="10">
        <v>11431482</v>
      </c>
      <c r="AM12" s="10">
        <v>1079798.47</v>
      </c>
      <c r="AN12" s="10">
        <v>19528</v>
      </c>
      <c r="AO12" s="10">
        <v>5891.62</v>
      </c>
      <c r="AP12" s="10">
        <v>4096938</v>
      </c>
      <c r="AQ12" s="10">
        <v>393535</v>
      </c>
      <c r="AR12" s="10">
        <v>494081</v>
      </c>
      <c r="AS12" s="10">
        <v>72606.7</v>
      </c>
      <c r="AT12" s="10">
        <v>1784980</v>
      </c>
      <c r="AU12" s="10">
        <v>218878</v>
      </c>
      <c r="AV12" s="10"/>
      <c r="AW12" s="10"/>
      <c r="AX12" s="10">
        <v>2303842</v>
      </c>
      <c r="AY12" s="10">
        <v>210242.4</v>
      </c>
      <c r="AZ12" s="10">
        <v>3003424</v>
      </c>
      <c r="BA12" s="10">
        <v>296005</v>
      </c>
      <c r="BB12" s="10">
        <v>4588367</v>
      </c>
      <c r="BC12" s="10">
        <v>416797</v>
      </c>
      <c r="BD12" s="10">
        <f>1167+18735870</f>
        <v>18737037</v>
      </c>
      <c r="BE12" s="10">
        <v>1606283</v>
      </c>
      <c r="BF12" s="10"/>
      <c r="BG12" s="10"/>
      <c r="BH12" s="10">
        <f t="shared" si="0"/>
        <v>126228581</v>
      </c>
      <c r="BI12" s="10">
        <f t="shared" si="1"/>
        <v>9752340.6900000013</v>
      </c>
    </row>
    <row r="13" spans="1:61" x14ac:dyDescent="0.25">
      <c r="A13" s="9" t="s">
        <v>132</v>
      </c>
      <c r="B13" s="9">
        <v>0</v>
      </c>
      <c r="C13" s="9">
        <v>0</v>
      </c>
      <c r="D13" s="9"/>
      <c r="E13" s="1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70">
        <v>2777</v>
      </c>
      <c r="S13" s="70">
        <v>83</v>
      </c>
      <c r="T13" s="9"/>
      <c r="U13" s="9"/>
      <c r="V13" s="9"/>
      <c r="W13" s="9"/>
      <c r="X13" s="9"/>
      <c r="Y13" s="19">
        <v>-0.21</v>
      </c>
      <c r="Z13" s="9"/>
      <c r="AA13" s="9"/>
      <c r="AB13" s="9"/>
      <c r="AC13" s="9"/>
      <c r="AD13" s="9"/>
      <c r="AE13" s="9"/>
      <c r="AF13" s="9"/>
      <c r="AG13" s="9"/>
      <c r="AH13" s="9">
        <v>13536</v>
      </c>
      <c r="AI13" s="9">
        <v>860.8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10">
        <f t="shared" si="0"/>
        <v>16313</v>
      </c>
      <c r="BI13" s="10">
        <f t="shared" si="1"/>
        <v>943.58999999999992</v>
      </c>
    </row>
    <row r="14" spans="1:61" s="7" customFormat="1" x14ac:dyDescent="0.25">
      <c r="A14" s="10" t="s">
        <v>133</v>
      </c>
      <c r="B14" s="10">
        <f t="shared" ref="B14:BD14" si="4">B12+B13</f>
        <v>2498</v>
      </c>
      <c r="C14" s="10">
        <f t="shared" si="4"/>
        <v>5404</v>
      </c>
      <c r="D14" s="10">
        <f t="shared" si="4"/>
        <v>225956</v>
      </c>
      <c r="E14" s="36">
        <f t="shared" si="4"/>
        <v>82900.92</v>
      </c>
      <c r="F14" s="10">
        <f t="shared" si="4"/>
        <v>869086</v>
      </c>
      <c r="G14" s="10">
        <f t="shared" si="4"/>
        <v>130193</v>
      </c>
      <c r="H14" s="10">
        <f t="shared" si="4"/>
        <v>9974515</v>
      </c>
      <c r="I14" s="10">
        <f t="shared" si="4"/>
        <v>763328</v>
      </c>
      <c r="J14" s="10">
        <f t="shared" si="4"/>
        <v>1863647</v>
      </c>
      <c r="K14" s="10">
        <f t="shared" si="4"/>
        <v>127442</v>
      </c>
      <c r="L14" s="10">
        <f t="shared" si="4"/>
        <v>2015234</v>
      </c>
      <c r="M14" s="10">
        <f t="shared" si="4"/>
        <v>313328</v>
      </c>
      <c r="N14" s="10">
        <f t="shared" si="4"/>
        <v>150562</v>
      </c>
      <c r="O14" s="10">
        <f t="shared" si="4"/>
        <v>22180</v>
      </c>
      <c r="P14" s="10">
        <f t="shared" si="4"/>
        <v>5692</v>
      </c>
      <c r="Q14" s="10">
        <f t="shared" si="4"/>
        <v>35995</v>
      </c>
      <c r="R14" s="10">
        <f t="shared" si="4"/>
        <v>1369925</v>
      </c>
      <c r="S14" s="10">
        <f t="shared" si="4"/>
        <v>181548</v>
      </c>
      <c r="T14" s="10">
        <f t="shared" si="4"/>
        <v>473310</v>
      </c>
      <c r="U14" s="10">
        <f t="shared" si="4"/>
        <v>34843.300000000003</v>
      </c>
      <c r="V14" s="10">
        <f t="shared" si="4"/>
        <v>17732491</v>
      </c>
      <c r="W14" s="10">
        <f t="shared" si="4"/>
        <v>1072520</v>
      </c>
      <c r="X14" s="10">
        <f t="shared" si="4"/>
        <v>7122469</v>
      </c>
      <c r="Y14" s="10">
        <f t="shared" si="4"/>
        <v>556369.46000000008</v>
      </c>
      <c r="Z14" s="10">
        <f t="shared" si="4"/>
        <v>101058</v>
      </c>
      <c r="AA14" s="10">
        <f t="shared" si="4"/>
        <v>8205.2800000000007</v>
      </c>
      <c r="AB14" s="10">
        <f t="shared" si="4"/>
        <v>680709</v>
      </c>
      <c r="AC14" s="10">
        <f t="shared" si="4"/>
        <v>58459.22</v>
      </c>
      <c r="AD14" s="10">
        <f t="shared" si="4"/>
        <v>497382</v>
      </c>
      <c r="AE14" s="10">
        <f t="shared" si="4"/>
        <v>41949</v>
      </c>
      <c r="AF14" s="10">
        <f t="shared" si="4"/>
        <v>307025</v>
      </c>
      <c r="AG14" s="10">
        <f t="shared" si="4"/>
        <v>59393</v>
      </c>
      <c r="AH14" s="10">
        <f t="shared" si="4"/>
        <v>28024757</v>
      </c>
      <c r="AI14" s="10">
        <f t="shared" si="4"/>
        <v>1423753.9100000001</v>
      </c>
      <c r="AJ14" s="10">
        <f t="shared" si="4"/>
        <v>8368899</v>
      </c>
      <c r="AK14" s="10">
        <f t="shared" si="4"/>
        <v>535435</v>
      </c>
      <c r="AL14" s="10">
        <f t="shared" si="4"/>
        <v>11431482</v>
      </c>
      <c r="AM14" s="10">
        <f t="shared" si="4"/>
        <v>1079798.47</v>
      </c>
      <c r="AN14" s="10">
        <f t="shared" si="4"/>
        <v>19528</v>
      </c>
      <c r="AO14" s="10">
        <f t="shared" si="4"/>
        <v>5891.62</v>
      </c>
      <c r="AP14" s="10">
        <f t="shared" si="4"/>
        <v>4096938</v>
      </c>
      <c r="AQ14" s="10">
        <f t="shared" si="4"/>
        <v>393535</v>
      </c>
      <c r="AR14" s="10">
        <f t="shared" si="4"/>
        <v>494081</v>
      </c>
      <c r="AS14" s="10">
        <f t="shared" si="4"/>
        <v>72606.7</v>
      </c>
      <c r="AT14" s="10">
        <f t="shared" si="4"/>
        <v>1784980</v>
      </c>
      <c r="AU14" s="10">
        <f t="shared" si="4"/>
        <v>218878</v>
      </c>
      <c r="AV14" s="10">
        <f t="shared" si="4"/>
        <v>0</v>
      </c>
      <c r="AW14" s="10">
        <f t="shared" si="4"/>
        <v>0</v>
      </c>
      <c r="AX14" s="10">
        <f t="shared" si="4"/>
        <v>2303842</v>
      </c>
      <c r="AY14" s="10">
        <f t="shared" si="4"/>
        <v>210242.4</v>
      </c>
      <c r="AZ14" s="10">
        <f t="shared" si="4"/>
        <v>3003424</v>
      </c>
      <c r="BA14" s="10">
        <f t="shared" si="4"/>
        <v>296005</v>
      </c>
      <c r="BB14" s="10">
        <f t="shared" si="4"/>
        <v>4588367</v>
      </c>
      <c r="BC14" s="10">
        <f t="shared" si="4"/>
        <v>416797</v>
      </c>
      <c r="BD14" s="10">
        <f t="shared" si="4"/>
        <v>18737037</v>
      </c>
      <c r="BE14" s="10">
        <f t="shared" ref="BE14:BG14" si="5">BE12+BE13</f>
        <v>1606283</v>
      </c>
      <c r="BF14" s="10">
        <f t="shared" si="5"/>
        <v>0</v>
      </c>
      <c r="BG14" s="10">
        <f t="shared" si="5"/>
        <v>0</v>
      </c>
      <c r="BH14" s="10">
        <f t="shared" si="0"/>
        <v>126244894</v>
      </c>
      <c r="BI14" s="10">
        <f t="shared" si="1"/>
        <v>9753284.2800000012</v>
      </c>
    </row>
  </sheetData>
  <mergeCells count="30">
    <mergeCell ref="AX3:AY3"/>
    <mergeCell ref="AN3:AO3"/>
    <mergeCell ref="AP3:AQ3"/>
    <mergeCell ref="AR3:AS3"/>
    <mergeCell ref="AT3:AU3"/>
    <mergeCell ref="AV3:AW3"/>
    <mergeCell ref="AL3:AM3"/>
    <mergeCell ref="R3:S3"/>
    <mergeCell ref="T3:U3"/>
    <mergeCell ref="V3:W3"/>
    <mergeCell ref="X3:Y3"/>
    <mergeCell ref="Z3:AA3"/>
    <mergeCell ref="AB3:AC3"/>
    <mergeCell ref="AH3:AI3"/>
    <mergeCell ref="AJ3:AK3"/>
    <mergeCell ref="AD3:AE3"/>
    <mergeCell ref="AF3:AG3"/>
    <mergeCell ref="BH3:BI3"/>
    <mergeCell ref="BF3:BG3"/>
    <mergeCell ref="BD3:BE3"/>
    <mergeCell ref="BB3:BC3"/>
    <mergeCell ref="AZ3:BA3"/>
    <mergeCell ref="L3:M3"/>
    <mergeCell ref="N3:O3"/>
    <mergeCell ref="P3:Q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6" customWidth="1"/>
    <col min="2" max="31" width="16" style="6" customWidth="1"/>
    <col min="32" max="16384" width="9.140625" style="6"/>
  </cols>
  <sheetData>
    <row r="1" spans="1:31" ht="18.75" x14ac:dyDescent="0.3">
      <c r="A1" s="12" t="s">
        <v>284</v>
      </c>
    </row>
    <row r="2" spans="1:31" x14ac:dyDescent="0.25">
      <c r="A2" s="5" t="s">
        <v>43</v>
      </c>
    </row>
    <row r="3" spans="1:31" x14ac:dyDescent="0.25">
      <c r="A3" s="3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  <c r="K3" s="65" t="s">
        <v>10</v>
      </c>
      <c r="L3" s="65" t="s">
        <v>11</v>
      </c>
      <c r="M3" s="65" t="s">
        <v>12</v>
      </c>
      <c r="N3" s="65" t="s">
        <v>13</v>
      </c>
      <c r="O3" s="65" t="s">
        <v>14</v>
      </c>
      <c r="P3" s="65" t="s">
        <v>15</v>
      </c>
      <c r="Q3" s="65" t="s">
        <v>16</v>
      </c>
      <c r="R3" s="65" t="s">
        <v>17</v>
      </c>
      <c r="S3" s="65" t="s">
        <v>18</v>
      </c>
      <c r="T3" s="65" t="s">
        <v>19</v>
      </c>
      <c r="U3" s="65" t="s">
        <v>20</v>
      </c>
      <c r="V3" s="65" t="s">
        <v>21</v>
      </c>
      <c r="W3" s="65" t="s">
        <v>22</v>
      </c>
      <c r="X3" s="65" t="s">
        <v>23</v>
      </c>
      <c r="Y3" s="65" t="s">
        <v>24</v>
      </c>
      <c r="Z3" s="65" t="s">
        <v>25</v>
      </c>
      <c r="AA3" s="65" t="s">
        <v>26</v>
      </c>
      <c r="AB3" s="65" t="s">
        <v>27</v>
      </c>
      <c r="AC3" s="64" t="s">
        <v>28</v>
      </c>
      <c r="AD3" s="65" t="s">
        <v>29</v>
      </c>
      <c r="AE3" s="33" t="s">
        <v>30</v>
      </c>
    </row>
    <row r="4" spans="1:31" x14ac:dyDescent="0.25">
      <c r="A4" s="3" t="s">
        <v>263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x14ac:dyDescent="0.25">
      <c r="A5" s="2" t="s">
        <v>264</v>
      </c>
      <c r="B5" s="9"/>
      <c r="C5" s="9"/>
      <c r="D5" s="9"/>
      <c r="E5" s="9">
        <v>1172100</v>
      </c>
      <c r="F5" s="9">
        <v>28695</v>
      </c>
      <c r="G5" s="9">
        <v>272230</v>
      </c>
      <c r="H5" s="9"/>
      <c r="I5" s="9"/>
      <c r="J5" s="9">
        <v>90779</v>
      </c>
      <c r="K5" s="9">
        <v>-77455</v>
      </c>
      <c r="L5" s="9">
        <v>996769</v>
      </c>
      <c r="M5" s="9">
        <v>550755</v>
      </c>
      <c r="N5" s="9">
        <v>15599</v>
      </c>
      <c r="O5" s="9">
        <v>-115189</v>
      </c>
      <c r="P5" s="9">
        <v>-35572</v>
      </c>
      <c r="Q5" s="9"/>
      <c r="R5" s="9">
        <v>3762278</v>
      </c>
      <c r="S5" s="9">
        <v>-3466083</v>
      </c>
      <c r="T5" s="9">
        <v>-1118520</v>
      </c>
      <c r="U5" s="9">
        <v>-7310</v>
      </c>
      <c r="V5" s="9">
        <v>43545</v>
      </c>
      <c r="W5" s="9"/>
      <c r="X5" s="9">
        <v>144469</v>
      </c>
      <c r="Y5" s="9">
        <v>1747870</v>
      </c>
      <c r="Z5" s="9">
        <v>125996</v>
      </c>
      <c r="AA5" s="9"/>
      <c r="AB5" s="9">
        <v>-175283</v>
      </c>
      <c r="AC5" s="9">
        <v>-1484691</v>
      </c>
      <c r="AD5" s="9">
        <v>324056</v>
      </c>
      <c r="AE5" s="9">
        <f>SUM(B5:AD5)</f>
        <v>2795038</v>
      </c>
    </row>
    <row r="6" spans="1:31" x14ac:dyDescent="0.25">
      <c r="A6" s="2" t="s">
        <v>265</v>
      </c>
      <c r="B6" s="9"/>
      <c r="C6" s="9"/>
      <c r="D6" s="9"/>
      <c r="E6" s="9">
        <v>116257</v>
      </c>
      <c r="F6" s="9">
        <v>10108</v>
      </c>
      <c r="G6" s="9">
        <v>96325</v>
      </c>
      <c r="H6" s="9"/>
      <c r="I6" s="9"/>
      <c r="J6" s="9">
        <v>76122</v>
      </c>
      <c r="K6" s="9">
        <v>39915</v>
      </c>
      <c r="L6" s="9">
        <v>-96735</v>
      </c>
      <c r="M6" s="9">
        <v>151150</v>
      </c>
      <c r="N6" s="9"/>
      <c r="O6" s="9">
        <v>-36826</v>
      </c>
      <c r="P6" s="9">
        <v>-43680</v>
      </c>
      <c r="Q6" s="9"/>
      <c r="R6" s="9">
        <v>712250</v>
      </c>
      <c r="S6" s="9">
        <v>872848</v>
      </c>
      <c r="T6" s="9">
        <v>333784</v>
      </c>
      <c r="U6" s="9">
        <v>113</v>
      </c>
      <c r="V6" s="9">
        <v>72057</v>
      </c>
      <c r="W6" s="9"/>
      <c r="X6" s="9">
        <v>37236</v>
      </c>
      <c r="Y6" s="9">
        <v>-30364</v>
      </c>
      <c r="Z6" s="9">
        <v>-1460</v>
      </c>
      <c r="AA6" s="9"/>
      <c r="AB6" s="9">
        <v>429983</v>
      </c>
      <c r="AC6" s="9">
        <v>553043</v>
      </c>
      <c r="AD6" s="9">
        <v>50841</v>
      </c>
      <c r="AE6" s="9">
        <f>SUM(B6:AD6)</f>
        <v>3342967</v>
      </c>
    </row>
    <row r="7" spans="1:31" x14ac:dyDescent="0.25">
      <c r="A7" s="2" t="s">
        <v>266</v>
      </c>
      <c r="B7" s="9">
        <v>-877292</v>
      </c>
      <c r="C7" s="9">
        <v>2985103</v>
      </c>
      <c r="D7" s="9">
        <v>1873038</v>
      </c>
      <c r="E7" s="9">
        <v>6856413</v>
      </c>
      <c r="F7" s="9">
        <v>-1317690</v>
      </c>
      <c r="G7" s="9">
        <v>1998155</v>
      </c>
      <c r="H7" s="9">
        <v>-1370857</v>
      </c>
      <c r="I7" s="9">
        <v>1380989.14</v>
      </c>
      <c r="J7" s="9">
        <v>10925</v>
      </c>
      <c r="K7" s="9">
        <v>108838</v>
      </c>
      <c r="L7" s="9">
        <v>6172521</v>
      </c>
      <c r="M7" s="9">
        <v>3849222</v>
      </c>
      <c r="N7" s="9">
        <v>-455910</v>
      </c>
      <c r="O7" s="9">
        <v>-1951610</v>
      </c>
      <c r="P7" s="9">
        <v>-29158</v>
      </c>
      <c r="Q7" s="9">
        <v>850729</v>
      </c>
      <c r="R7" s="9">
        <v>-8102319</v>
      </c>
      <c r="S7" s="9">
        <v>-2976287</v>
      </c>
      <c r="T7" s="9">
        <v>-23216639</v>
      </c>
      <c r="U7" s="9">
        <v>-28906</v>
      </c>
      <c r="V7" s="9">
        <v>398809</v>
      </c>
      <c r="W7" s="9">
        <v>-52500.9</v>
      </c>
      <c r="X7" s="9">
        <v>-95119</v>
      </c>
      <c r="Y7" s="9">
        <v>-616320</v>
      </c>
      <c r="Z7" s="9">
        <v>2487070</v>
      </c>
      <c r="AA7" s="9">
        <v>860815</v>
      </c>
      <c r="AB7" s="9">
        <v>90981</v>
      </c>
      <c r="AC7" s="9">
        <v>-22310960</v>
      </c>
      <c r="AD7" s="9">
        <v>159361</v>
      </c>
      <c r="AE7" s="9">
        <f>SUM(B7:AD7)</f>
        <v>-33318598.759999998</v>
      </c>
    </row>
    <row r="8" spans="1:31" x14ac:dyDescent="0.25">
      <c r="A8" s="3" t="s">
        <v>267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x14ac:dyDescent="0.25">
      <c r="A9" s="2" t="s">
        <v>268</v>
      </c>
      <c r="B9" s="9">
        <v>13385</v>
      </c>
      <c r="C9" s="9">
        <v>1886081</v>
      </c>
      <c r="D9" s="9">
        <v>146456</v>
      </c>
      <c r="E9" s="9">
        <v>2300712</v>
      </c>
      <c r="F9" s="9">
        <v>2486</v>
      </c>
      <c r="G9" s="9">
        <v>541217</v>
      </c>
      <c r="H9" s="9">
        <v>68835</v>
      </c>
      <c r="I9" s="9">
        <v>2477241.04</v>
      </c>
      <c r="J9" s="9">
        <f>317198+5057</f>
        <v>322255</v>
      </c>
      <c r="K9" s="9">
        <v>115106</v>
      </c>
      <c r="L9" s="9">
        <v>2166738</v>
      </c>
      <c r="M9" s="9">
        <v>1057133</v>
      </c>
      <c r="N9" s="9">
        <v>72015</v>
      </c>
      <c r="O9" s="9">
        <v>188495</v>
      </c>
      <c r="P9" s="9">
        <v>175994</v>
      </c>
      <c r="Q9" s="9">
        <v>157181</v>
      </c>
      <c r="R9" s="9">
        <v>2780579</v>
      </c>
      <c r="S9" s="9">
        <v>8797258</v>
      </c>
      <c r="T9" s="9">
        <v>2304922</v>
      </c>
      <c r="U9" s="9">
        <v>142835</v>
      </c>
      <c r="V9" s="9">
        <v>770169</v>
      </c>
      <c r="W9" s="9">
        <v>115283</v>
      </c>
      <c r="X9" s="9">
        <v>459976</v>
      </c>
      <c r="Y9" s="9">
        <v>743234</v>
      </c>
      <c r="Z9" s="9">
        <v>478906</v>
      </c>
      <c r="AA9" s="9">
        <v>357858</v>
      </c>
      <c r="AB9" s="9">
        <v>811447</v>
      </c>
      <c r="AC9" s="9">
        <v>2480369</v>
      </c>
      <c r="AD9" s="9">
        <v>276529</v>
      </c>
      <c r="AE9" s="9">
        <f t="shared" ref="AE9:AE15" si="0">SUM(B9:AD9)</f>
        <v>32210695.039999999</v>
      </c>
    </row>
    <row r="10" spans="1:31" x14ac:dyDescent="0.25">
      <c r="A10" s="2" t="s">
        <v>269</v>
      </c>
      <c r="B10" s="9">
        <v>59939</v>
      </c>
      <c r="C10" s="9">
        <v>1301</v>
      </c>
      <c r="D10" s="9">
        <v>19592</v>
      </c>
      <c r="E10" s="9">
        <v>514144</v>
      </c>
      <c r="F10" s="9">
        <v>1324</v>
      </c>
      <c r="G10" s="9">
        <v>111784</v>
      </c>
      <c r="H10" s="9">
        <v>5157</v>
      </c>
      <c r="I10" s="9">
        <f>-0.07+66535.42</f>
        <v>66535.349999999991</v>
      </c>
      <c r="J10" s="9">
        <v>80853</v>
      </c>
      <c r="K10" s="9">
        <v>51709</v>
      </c>
      <c r="L10" s="9">
        <v>1024961</v>
      </c>
      <c r="M10" s="9">
        <v>606665</v>
      </c>
      <c r="N10" s="9">
        <v>31383</v>
      </c>
      <c r="O10" s="9">
        <v>12956</v>
      </c>
      <c r="P10" s="9">
        <v>20242</v>
      </c>
      <c r="Q10" s="9">
        <v>25043</v>
      </c>
      <c r="R10" s="9">
        <v>4897775</v>
      </c>
      <c r="S10" s="9">
        <v>6420867</v>
      </c>
      <c r="T10" s="9">
        <v>2247112</v>
      </c>
      <c r="U10" s="9">
        <v>5246</v>
      </c>
      <c r="V10" s="9">
        <v>239857</v>
      </c>
      <c r="W10" s="9">
        <v>1833.1</v>
      </c>
      <c r="X10" s="9">
        <v>131102</v>
      </c>
      <c r="Y10" s="9">
        <v>72194</v>
      </c>
      <c r="Z10" s="9">
        <v>22</v>
      </c>
      <c r="AA10" s="9">
        <v>24581</v>
      </c>
      <c r="AB10" s="9">
        <v>228167</v>
      </c>
      <c r="AC10" s="9">
        <v>1633903</v>
      </c>
      <c r="AD10" s="9">
        <v>55977</v>
      </c>
      <c r="AE10" s="9">
        <f t="shared" si="0"/>
        <v>18592224.449999999</v>
      </c>
    </row>
    <row r="11" spans="1:31" x14ac:dyDescent="0.25">
      <c r="A11" s="2" t="s">
        <v>270</v>
      </c>
      <c r="B11" s="9">
        <v>-785</v>
      </c>
      <c r="C11" s="9"/>
      <c r="D11" s="9"/>
      <c r="E11" s="9"/>
      <c r="F11" s="9"/>
      <c r="G11" s="9"/>
      <c r="H11" s="9"/>
      <c r="I11" s="9"/>
      <c r="J11" s="9">
        <v>-1486</v>
      </c>
      <c r="K11" s="9"/>
      <c r="L11" s="9">
        <v>-99475</v>
      </c>
      <c r="M11" s="9"/>
      <c r="N11" s="9">
        <v>-1332</v>
      </c>
      <c r="O11" s="9"/>
      <c r="P11" s="9"/>
      <c r="Q11" s="9"/>
      <c r="R11" s="9"/>
      <c r="S11" s="9"/>
      <c r="T11" s="9"/>
      <c r="U11" s="9">
        <v>65</v>
      </c>
      <c r="V11" s="9">
        <v>-17538</v>
      </c>
      <c r="W11" s="9"/>
      <c r="X11" s="9">
        <v>-1073</v>
      </c>
      <c r="Y11" s="9">
        <v>-418</v>
      </c>
      <c r="Z11" s="9"/>
      <c r="AA11" s="9"/>
      <c r="AB11" s="9">
        <v>-33444</v>
      </c>
      <c r="AC11" s="9"/>
      <c r="AD11" s="9">
        <v>-310</v>
      </c>
      <c r="AE11" s="9">
        <f t="shared" si="0"/>
        <v>-155796</v>
      </c>
    </row>
    <row r="12" spans="1:31" ht="15" customHeight="1" x14ac:dyDescent="0.25">
      <c r="A12" s="2" t="s">
        <v>271</v>
      </c>
      <c r="B12" s="9"/>
      <c r="C12" s="9"/>
      <c r="D12" s="9"/>
      <c r="E12" s="9"/>
      <c r="F12" s="9"/>
      <c r="G12" s="9"/>
      <c r="H12" s="9"/>
      <c r="I12" s="9"/>
      <c r="J12" s="9"/>
      <c r="K12" s="9">
        <v>-3290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>
        <v>-34797</v>
      </c>
      <c r="AC12" s="9"/>
      <c r="AD12" s="9"/>
      <c r="AE12" s="9">
        <f t="shared" si="0"/>
        <v>-38087</v>
      </c>
    </row>
    <row r="13" spans="1:31" x14ac:dyDescent="0.25">
      <c r="A13" s="9" t="s">
        <v>272</v>
      </c>
      <c r="B13" s="9"/>
      <c r="C13" s="9">
        <v>32675</v>
      </c>
      <c r="D13" s="9">
        <v>-3</v>
      </c>
      <c r="E13" s="9">
        <v>-3532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>
        <v>-7118</v>
      </c>
      <c r="AE13" s="9">
        <f t="shared" si="0"/>
        <v>22022</v>
      </c>
    </row>
    <row r="14" spans="1:31" x14ac:dyDescent="0.25">
      <c r="A14" s="3" t="s">
        <v>273</v>
      </c>
      <c r="B14" s="9">
        <f>B15-B13-B12-B11-B10-B9-B7-B6-B5</f>
        <v>0</v>
      </c>
      <c r="C14" s="9">
        <f t="shared" ref="C14:AD14" si="1">C15-C13-C12-C11-C10-C9-C7-C6-C5</f>
        <v>166177</v>
      </c>
      <c r="D14" s="9">
        <f t="shared" si="1"/>
        <v>7532</v>
      </c>
      <c r="E14" s="9">
        <f t="shared" si="1"/>
        <v>24446</v>
      </c>
      <c r="F14" s="9">
        <f t="shared" si="1"/>
        <v>0</v>
      </c>
      <c r="G14" s="9">
        <f t="shared" si="1"/>
        <v>0</v>
      </c>
      <c r="H14" s="9">
        <f t="shared" si="1"/>
        <v>0</v>
      </c>
      <c r="I14" s="9">
        <f t="shared" si="1"/>
        <v>176344.57999999984</v>
      </c>
      <c r="J14" s="9">
        <f t="shared" si="1"/>
        <v>1528</v>
      </c>
      <c r="K14" s="9">
        <f t="shared" si="1"/>
        <v>0</v>
      </c>
      <c r="L14" s="9">
        <f t="shared" si="1"/>
        <v>20114</v>
      </c>
      <c r="M14" s="9">
        <f t="shared" si="1"/>
        <v>54990</v>
      </c>
      <c r="N14" s="9">
        <f t="shared" si="1"/>
        <v>42</v>
      </c>
      <c r="O14" s="9">
        <f t="shared" si="1"/>
        <v>0</v>
      </c>
      <c r="P14" s="9">
        <f t="shared" si="1"/>
        <v>0</v>
      </c>
      <c r="Q14" s="9">
        <f t="shared" si="1"/>
        <v>5744</v>
      </c>
      <c r="R14" s="9">
        <f t="shared" si="1"/>
        <v>64279</v>
      </c>
      <c r="S14" s="9">
        <f t="shared" si="1"/>
        <v>2185507</v>
      </c>
      <c r="T14" s="9">
        <f t="shared" si="1"/>
        <v>872286</v>
      </c>
      <c r="U14" s="9">
        <f t="shared" si="1"/>
        <v>0</v>
      </c>
      <c r="V14" s="9">
        <f t="shared" si="1"/>
        <v>9622</v>
      </c>
      <c r="W14" s="9">
        <f t="shared" si="1"/>
        <v>0</v>
      </c>
      <c r="X14" s="9">
        <f t="shared" si="1"/>
        <v>1241</v>
      </c>
      <c r="Y14" s="9">
        <f t="shared" si="1"/>
        <v>24136</v>
      </c>
      <c r="Z14" s="9">
        <f t="shared" si="1"/>
        <v>0</v>
      </c>
      <c r="AA14" s="9">
        <f t="shared" si="1"/>
        <v>0</v>
      </c>
      <c r="AB14" s="9">
        <f t="shared" si="1"/>
        <v>7719</v>
      </c>
      <c r="AC14" s="9">
        <f t="shared" si="1"/>
        <v>217573</v>
      </c>
      <c r="AD14" s="9">
        <f t="shared" si="1"/>
        <v>3</v>
      </c>
      <c r="AE14" s="9">
        <f t="shared" si="0"/>
        <v>3839283.58</v>
      </c>
    </row>
    <row r="15" spans="1:31" s="7" customFormat="1" x14ac:dyDescent="0.25">
      <c r="A15" s="3" t="s">
        <v>35</v>
      </c>
      <c r="B15" s="10">
        <v>-804753</v>
      </c>
      <c r="C15" s="10">
        <v>5071337</v>
      </c>
      <c r="D15" s="10">
        <v>2046615</v>
      </c>
      <c r="E15" s="10">
        <v>10980540</v>
      </c>
      <c r="F15" s="10">
        <v>-1275077</v>
      </c>
      <c r="G15" s="10">
        <v>3019711</v>
      </c>
      <c r="H15" s="10">
        <v>-1296865</v>
      </c>
      <c r="I15" s="10">
        <v>4101110.11</v>
      </c>
      <c r="J15" s="10">
        <v>580976</v>
      </c>
      <c r="K15" s="10">
        <v>234823</v>
      </c>
      <c r="L15" s="10">
        <v>10184893</v>
      </c>
      <c r="M15" s="10">
        <v>6269915</v>
      </c>
      <c r="N15" s="10">
        <v>-338203</v>
      </c>
      <c r="O15" s="10">
        <v>-1902174</v>
      </c>
      <c r="P15" s="10">
        <v>87826</v>
      </c>
      <c r="Q15" s="10">
        <v>1038697</v>
      </c>
      <c r="R15" s="10">
        <v>4114842</v>
      </c>
      <c r="S15" s="10">
        <v>11834110</v>
      </c>
      <c r="T15" s="10">
        <v>-18577055</v>
      </c>
      <c r="U15" s="10">
        <v>112043</v>
      </c>
      <c r="V15" s="10">
        <v>1516521</v>
      </c>
      <c r="W15" s="10">
        <v>64615.199999999997</v>
      </c>
      <c r="X15" s="10">
        <v>677832</v>
      </c>
      <c r="Y15" s="10">
        <v>1940332</v>
      </c>
      <c r="Z15" s="10">
        <v>3090534</v>
      </c>
      <c r="AA15" s="10">
        <v>1243254</v>
      </c>
      <c r="AB15" s="10">
        <v>1324773</v>
      </c>
      <c r="AC15" s="10">
        <v>-18910763</v>
      </c>
      <c r="AD15" s="10">
        <v>859339</v>
      </c>
      <c r="AE15" s="10">
        <f t="shared" si="0"/>
        <v>27289748.310000002</v>
      </c>
    </row>
    <row r="16" spans="1:31" x14ac:dyDescent="0.25">
      <c r="A16" s="3" t="s">
        <v>274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x14ac:dyDescent="0.25">
      <c r="A17" s="2" t="s">
        <v>275</v>
      </c>
      <c r="B17" s="9"/>
      <c r="C17" s="9"/>
      <c r="D17" s="9"/>
      <c r="E17" s="9"/>
      <c r="F17" s="9"/>
      <c r="G17" s="9"/>
      <c r="H17" s="9"/>
      <c r="I17" s="9">
        <v>-226.38</v>
      </c>
      <c r="J17" s="9"/>
      <c r="K17" s="9"/>
      <c r="L17" s="9"/>
      <c r="M17" s="9"/>
      <c r="N17" s="9"/>
      <c r="O17" s="9"/>
      <c r="P17" s="9"/>
      <c r="Q17" s="9"/>
      <c r="R17" s="9">
        <v>22323</v>
      </c>
      <c r="S17" s="9">
        <v>11556</v>
      </c>
      <c r="T17" s="9">
        <v>67</v>
      </c>
      <c r="U17" s="9"/>
      <c r="V17" s="9"/>
      <c r="W17" s="9"/>
      <c r="X17" s="9"/>
      <c r="Y17" s="9">
        <v>3763</v>
      </c>
      <c r="Z17" s="9"/>
      <c r="AA17" s="9"/>
      <c r="AB17" s="9"/>
      <c r="AC17" s="9">
        <v>20552</v>
      </c>
      <c r="AD17" s="9"/>
      <c r="AE17" s="9">
        <f t="shared" ref="AE17:AE24" si="2">SUM(B17:AD17)</f>
        <v>58034.619999999995</v>
      </c>
    </row>
    <row r="18" spans="1:31" x14ac:dyDescent="0.25">
      <c r="A18" s="2" t="s">
        <v>276</v>
      </c>
      <c r="B18" s="9"/>
      <c r="C18" s="9"/>
      <c r="D18" s="9"/>
      <c r="E18" s="9">
        <v>2312</v>
      </c>
      <c r="F18" s="9"/>
      <c r="G18" s="9"/>
      <c r="H18" s="9"/>
      <c r="I18" s="9"/>
      <c r="J18" s="9">
        <v>3103</v>
      </c>
      <c r="K18" s="9">
        <v>7250</v>
      </c>
      <c r="L18" s="9">
        <v>133871</v>
      </c>
      <c r="M18" s="9">
        <v>41621</v>
      </c>
      <c r="N18" s="9"/>
      <c r="O18" s="9"/>
      <c r="P18" s="9"/>
      <c r="Q18" s="9"/>
      <c r="R18" s="9">
        <v>-117831</v>
      </c>
      <c r="S18" s="9">
        <f>129817-8823</f>
        <v>120994</v>
      </c>
      <c r="T18" s="9">
        <v>563403</v>
      </c>
      <c r="U18" s="9"/>
      <c r="V18" s="9">
        <v>16407</v>
      </c>
      <c r="W18" s="9"/>
      <c r="X18" s="9"/>
      <c r="Y18" s="9"/>
      <c r="Z18" s="9"/>
      <c r="AA18" s="9"/>
      <c r="AB18" s="9">
        <v>49879</v>
      </c>
      <c r="AC18" s="9">
        <v>4910</v>
      </c>
      <c r="AD18" s="9"/>
      <c r="AE18" s="9">
        <f t="shared" si="2"/>
        <v>825919</v>
      </c>
    </row>
    <row r="19" spans="1:31" x14ac:dyDescent="0.25">
      <c r="A19" s="2" t="s">
        <v>58</v>
      </c>
      <c r="B19" s="9"/>
      <c r="C19" s="9">
        <v>41628</v>
      </c>
      <c r="D19" s="9"/>
      <c r="E19" s="9"/>
      <c r="F19" s="9"/>
      <c r="G19" s="9">
        <v>49023</v>
      </c>
      <c r="H19" s="9"/>
      <c r="I19" s="9">
        <v>2000</v>
      </c>
      <c r="J19" s="9"/>
      <c r="K19" s="9"/>
      <c r="L19" s="9">
        <v>-39357</v>
      </c>
      <c r="M19" s="9"/>
      <c r="N19" s="9"/>
      <c r="O19" s="9"/>
      <c r="P19" s="9"/>
      <c r="Q19" s="9"/>
      <c r="R19" s="9"/>
      <c r="S19" s="9">
        <v>24627</v>
      </c>
      <c r="T19" s="9">
        <v>29335</v>
      </c>
      <c r="U19" s="9"/>
      <c r="V19" s="9">
        <v>2361</v>
      </c>
      <c r="W19" s="9"/>
      <c r="X19" s="9"/>
      <c r="Y19" s="9"/>
      <c r="Z19" s="9"/>
      <c r="AA19" s="9"/>
      <c r="AB19" s="9"/>
      <c r="AC19" s="9">
        <v>15600</v>
      </c>
      <c r="AD19" s="9"/>
      <c r="AE19" s="9">
        <f t="shared" si="2"/>
        <v>125217</v>
      </c>
    </row>
    <row r="20" spans="1:31" x14ac:dyDescent="0.25">
      <c r="A20" s="3" t="s">
        <v>277</v>
      </c>
      <c r="B20" s="9">
        <f>B21-B19-B18-B17</f>
        <v>61968</v>
      </c>
      <c r="C20" s="9">
        <f t="shared" ref="C20:AD20" si="3">C21-C19-C18-C17</f>
        <v>158883</v>
      </c>
      <c r="D20" s="9">
        <f t="shared" si="3"/>
        <v>723682</v>
      </c>
      <c r="E20" s="9">
        <f t="shared" si="3"/>
        <v>197050</v>
      </c>
      <c r="F20" s="9">
        <f t="shared" si="3"/>
        <v>11259</v>
      </c>
      <c r="G20" s="9">
        <f t="shared" si="3"/>
        <v>0</v>
      </c>
      <c r="H20" s="9">
        <f t="shared" si="3"/>
        <v>53672</v>
      </c>
      <c r="I20" s="9">
        <f t="shared" si="3"/>
        <v>24394.65</v>
      </c>
      <c r="J20" s="9">
        <f t="shared" si="3"/>
        <v>149900</v>
      </c>
      <c r="K20" s="9">
        <f t="shared" si="3"/>
        <v>624228</v>
      </c>
      <c r="L20" s="9">
        <f t="shared" si="3"/>
        <v>989365</v>
      </c>
      <c r="M20" s="9">
        <f t="shared" si="3"/>
        <v>32794</v>
      </c>
      <c r="N20" s="9">
        <f t="shared" si="3"/>
        <v>9032</v>
      </c>
      <c r="O20" s="9">
        <f t="shared" si="3"/>
        <v>45005</v>
      </c>
      <c r="P20" s="9">
        <f t="shared" si="3"/>
        <v>16129</v>
      </c>
      <c r="Q20" s="9">
        <f t="shared" si="3"/>
        <v>1075463</v>
      </c>
      <c r="R20" s="9">
        <f t="shared" si="3"/>
        <v>3718311</v>
      </c>
      <c r="S20" s="9">
        <f t="shared" si="3"/>
        <v>38364</v>
      </c>
      <c r="T20" s="9">
        <f t="shared" si="3"/>
        <v>-592805</v>
      </c>
      <c r="U20" s="9">
        <f t="shared" si="3"/>
        <v>72739</v>
      </c>
      <c r="V20" s="9">
        <f t="shared" si="3"/>
        <v>194318</v>
      </c>
      <c r="W20" s="9">
        <f t="shared" si="3"/>
        <v>43097.2</v>
      </c>
      <c r="X20" s="9">
        <f t="shared" si="3"/>
        <v>49943</v>
      </c>
      <c r="Y20" s="9">
        <f t="shared" si="3"/>
        <v>410007</v>
      </c>
      <c r="Z20" s="9">
        <f t="shared" si="3"/>
        <v>11164</v>
      </c>
      <c r="AA20" s="9">
        <f t="shared" si="3"/>
        <v>63817</v>
      </c>
      <c r="AB20" s="9">
        <f t="shared" si="3"/>
        <v>90612</v>
      </c>
      <c r="AC20" s="9">
        <f t="shared" si="3"/>
        <v>174709</v>
      </c>
      <c r="AD20" s="9">
        <f t="shared" si="3"/>
        <v>354923</v>
      </c>
      <c r="AE20" s="9">
        <f t="shared" si="2"/>
        <v>8802023.8500000015</v>
      </c>
    </row>
    <row r="21" spans="1:31" s="7" customFormat="1" x14ac:dyDescent="0.25">
      <c r="A21" s="3" t="s">
        <v>39</v>
      </c>
      <c r="B21" s="10">
        <v>61968</v>
      </c>
      <c r="C21" s="10">
        <v>200511</v>
      </c>
      <c r="D21" s="10">
        <v>723682</v>
      </c>
      <c r="E21" s="10">
        <v>199362</v>
      </c>
      <c r="F21" s="10">
        <v>11259</v>
      </c>
      <c r="G21" s="10">
        <v>49023</v>
      </c>
      <c r="H21" s="10">
        <v>53672</v>
      </c>
      <c r="I21" s="10">
        <v>26168.27</v>
      </c>
      <c r="J21" s="10">
        <v>153003</v>
      </c>
      <c r="K21" s="10">
        <v>631478</v>
      </c>
      <c r="L21" s="10">
        <v>1083879</v>
      </c>
      <c r="M21" s="10">
        <v>74415</v>
      </c>
      <c r="N21" s="10">
        <v>9032</v>
      </c>
      <c r="O21" s="10">
        <v>45005</v>
      </c>
      <c r="P21" s="10">
        <v>16129</v>
      </c>
      <c r="Q21" s="10">
        <v>1075463</v>
      </c>
      <c r="R21" s="10">
        <v>3622803</v>
      </c>
      <c r="S21" s="10">
        <v>195541</v>
      </c>
      <c r="T21" s="10"/>
      <c r="U21" s="10">
        <v>72739</v>
      </c>
      <c r="V21" s="10">
        <v>213086</v>
      </c>
      <c r="W21" s="10">
        <v>43097.2</v>
      </c>
      <c r="X21" s="10">
        <v>49943</v>
      </c>
      <c r="Y21" s="10">
        <v>413770</v>
      </c>
      <c r="Z21" s="10">
        <v>11164</v>
      </c>
      <c r="AA21" s="10">
        <v>63817</v>
      </c>
      <c r="AB21" s="10">
        <v>140491</v>
      </c>
      <c r="AC21" s="10">
        <v>215771</v>
      </c>
      <c r="AD21" s="10">
        <v>354923</v>
      </c>
      <c r="AE21" s="10">
        <f t="shared" si="2"/>
        <v>9811194.4699999988</v>
      </c>
    </row>
    <row r="22" spans="1:31" s="7" customFormat="1" x14ac:dyDescent="0.25">
      <c r="A22" s="3" t="s">
        <v>278</v>
      </c>
      <c r="B22" s="10">
        <f>B15-B21</f>
        <v>-866721</v>
      </c>
      <c r="C22" s="10">
        <f t="shared" ref="C22:AD22" si="4">C15-C21</f>
        <v>4870826</v>
      </c>
      <c r="D22" s="10">
        <f t="shared" si="4"/>
        <v>1322933</v>
      </c>
      <c r="E22" s="10">
        <f t="shared" si="4"/>
        <v>10781178</v>
      </c>
      <c r="F22" s="10">
        <f t="shared" si="4"/>
        <v>-1286336</v>
      </c>
      <c r="G22" s="10">
        <f t="shared" si="4"/>
        <v>2970688</v>
      </c>
      <c r="H22" s="10">
        <f t="shared" si="4"/>
        <v>-1350537</v>
      </c>
      <c r="I22" s="10">
        <f t="shared" si="4"/>
        <v>4074941.84</v>
      </c>
      <c r="J22" s="10">
        <f t="shared" si="4"/>
        <v>427973</v>
      </c>
      <c r="K22" s="10">
        <f t="shared" si="4"/>
        <v>-396655</v>
      </c>
      <c r="L22" s="10">
        <f t="shared" si="4"/>
        <v>9101014</v>
      </c>
      <c r="M22" s="10">
        <f t="shared" si="4"/>
        <v>6195500</v>
      </c>
      <c r="N22" s="10">
        <f t="shared" si="4"/>
        <v>-347235</v>
      </c>
      <c r="O22" s="10">
        <f t="shared" si="4"/>
        <v>-1947179</v>
      </c>
      <c r="P22" s="10">
        <f t="shared" si="4"/>
        <v>71697</v>
      </c>
      <c r="Q22" s="10">
        <f t="shared" si="4"/>
        <v>-36766</v>
      </c>
      <c r="R22" s="10">
        <f t="shared" si="4"/>
        <v>492039</v>
      </c>
      <c r="S22" s="10">
        <f t="shared" si="4"/>
        <v>11638569</v>
      </c>
      <c r="T22" s="10">
        <f t="shared" si="4"/>
        <v>-18577055</v>
      </c>
      <c r="U22" s="10">
        <f t="shared" si="4"/>
        <v>39304</v>
      </c>
      <c r="V22" s="10">
        <f t="shared" si="4"/>
        <v>1303435</v>
      </c>
      <c r="W22" s="10">
        <f t="shared" si="4"/>
        <v>21518</v>
      </c>
      <c r="X22" s="10">
        <f t="shared" si="4"/>
        <v>627889</v>
      </c>
      <c r="Y22" s="10">
        <f t="shared" si="4"/>
        <v>1526562</v>
      </c>
      <c r="Z22" s="10">
        <f t="shared" si="4"/>
        <v>3079370</v>
      </c>
      <c r="AA22" s="10">
        <f t="shared" si="4"/>
        <v>1179437</v>
      </c>
      <c r="AB22" s="10">
        <f t="shared" si="4"/>
        <v>1184282</v>
      </c>
      <c r="AC22" s="10">
        <f t="shared" si="4"/>
        <v>-19126534</v>
      </c>
      <c r="AD22" s="10">
        <f t="shared" si="4"/>
        <v>504416</v>
      </c>
      <c r="AE22" s="10">
        <f t="shared" si="2"/>
        <v>17478553.840000004</v>
      </c>
    </row>
    <row r="23" spans="1:31" x14ac:dyDescent="0.25">
      <c r="A23" s="2" t="s">
        <v>280</v>
      </c>
      <c r="B23" s="9"/>
      <c r="C23" s="9">
        <v>1633145</v>
      </c>
      <c r="D23" s="9"/>
      <c r="E23" s="9">
        <v>3502795</v>
      </c>
      <c r="F23" s="9"/>
      <c r="G23" s="9">
        <v>889233</v>
      </c>
      <c r="H23" s="9"/>
      <c r="I23" s="9">
        <f>370973.83+880000+2526.72</f>
        <v>1253500.55</v>
      </c>
      <c r="J23" s="9"/>
      <c r="K23" s="9"/>
      <c r="L23" s="9">
        <f>2017157-404607+469625</f>
        <v>2082175</v>
      </c>
      <c r="M23" s="9">
        <v>1927322</v>
      </c>
      <c r="N23" s="9"/>
      <c r="O23" s="9"/>
      <c r="P23" s="9">
        <v>8670</v>
      </c>
      <c r="Q23" s="9"/>
      <c r="R23" s="9">
        <v>33662</v>
      </c>
      <c r="S23" s="9">
        <f>1615764-56510</f>
        <v>1559254</v>
      </c>
      <c r="T23">
        <v>2981579</v>
      </c>
      <c r="U23" s="9">
        <v>12495</v>
      </c>
      <c r="V23" s="9">
        <f>262191+26544-288735</f>
        <v>0</v>
      </c>
      <c r="W23" s="9"/>
      <c r="X23" s="9">
        <v>197409</v>
      </c>
      <c r="Y23" s="9"/>
      <c r="Z23" s="9">
        <v>877439</v>
      </c>
      <c r="AA23" s="9"/>
      <c r="AB23" s="9"/>
      <c r="AC23" s="9"/>
      <c r="AD23" s="9">
        <v>14589</v>
      </c>
      <c r="AE23" s="9">
        <f t="shared" si="2"/>
        <v>16973267.550000001</v>
      </c>
    </row>
    <row r="24" spans="1:31" s="7" customFormat="1" x14ac:dyDescent="0.25">
      <c r="A24" s="3" t="s">
        <v>279</v>
      </c>
      <c r="B24" s="10">
        <f>B22-B23</f>
        <v>-866721</v>
      </c>
      <c r="C24" s="10">
        <f t="shared" ref="C24:AD24" si="5">C22-C23</f>
        <v>3237681</v>
      </c>
      <c r="D24" s="10">
        <f t="shared" si="5"/>
        <v>1322933</v>
      </c>
      <c r="E24" s="10">
        <f t="shared" si="5"/>
        <v>7278383</v>
      </c>
      <c r="F24" s="10">
        <f t="shared" si="5"/>
        <v>-1286336</v>
      </c>
      <c r="G24" s="10">
        <f t="shared" si="5"/>
        <v>2081455</v>
      </c>
      <c r="H24" s="10">
        <f t="shared" si="5"/>
        <v>-1350537</v>
      </c>
      <c r="I24" s="10">
        <f t="shared" si="5"/>
        <v>2821441.29</v>
      </c>
      <c r="J24" s="10">
        <f t="shared" si="5"/>
        <v>427973</v>
      </c>
      <c r="K24" s="10">
        <f t="shared" si="5"/>
        <v>-396655</v>
      </c>
      <c r="L24" s="10">
        <f t="shared" si="5"/>
        <v>7018839</v>
      </c>
      <c r="M24" s="10">
        <f t="shared" si="5"/>
        <v>4268178</v>
      </c>
      <c r="N24" s="10">
        <f t="shared" si="5"/>
        <v>-347235</v>
      </c>
      <c r="O24" s="10">
        <f t="shared" si="5"/>
        <v>-1947179</v>
      </c>
      <c r="P24" s="10">
        <f t="shared" si="5"/>
        <v>63027</v>
      </c>
      <c r="Q24" s="10">
        <f t="shared" si="5"/>
        <v>-36766</v>
      </c>
      <c r="R24" s="10">
        <f t="shared" si="5"/>
        <v>458377</v>
      </c>
      <c r="S24" s="10">
        <f t="shared" si="5"/>
        <v>10079315</v>
      </c>
      <c r="T24" s="10">
        <v>-16910994</v>
      </c>
      <c r="U24" s="10">
        <f t="shared" si="5"/>
        <v>26809</v>
      </c>
      <c r="V24" s="10">
        <f t="shared" si="5"/>
        <v>1303435</v>
      </c>
      <c r="W24" s="10">
        <f t="shared" si="5"/>
        <v>21518</v>
      </c>
      <c r="X24" s="10">
        <f t="shared" si="5"/>
        <v>430480</v>
      </c>
      <c r="Y24" s="10">
        <f t="shared" si="5"/>
        <v>1526562</v>
      </c>
      <c r="Z24" s="10">
        <f t="shared" si="5"/>
        <v>2201931</v>
      </c>
      <c r="AA24" s="10">
        <f t="shared" si="5"/>
        <v>1179437</v>
      </c>
      <c r="AB24" s="10">
        <f t="shared" si="5"/>
        <v>1184282</v>
      </c>
      <c r="AC24" s="10">
        <f t="shared" si="5"/>
        <v>-19126534</v>
      </c>
      <c r="AD24" s="10">
        <f t="shared" si="5"/>
        <v>489827</v>
      </c>
      <c r="AE24" s="10">
        <f t="shared" si="2"/>
        <v>5152926.2899999991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30" width="16" style="6" customWidth="1"/>
    <col min="31" max="31" width="16" style="7" customWidth="1"/>
    <col min="32" max="16384" width="9.140625" style="6"/>
  </cols>
  <sheetData>
    <row r="1" spans="1:31" ht="18.75" x14ac:dyDescent="0.3">
      <c r="A1" s="12" t="s">
        <v>285</v>
      </c>
    </row>
    <row r="2" spans="1:31" x14ac:dyDescent="0.25">
      <c r="A2" s="13" t="s">
        <v>43</v>
      </c>
    </row>
    <row r="3" spans="1:31" x14ac:dyDescent="0.25">
      <c r="A3" s="1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  <c r="K3" s="65" t="s">
        <v>10</v>
      </c>
      <c r="L3" s="65" t="s">
        <v>11</v>
      </c>
      <c r="M3" s="65" t="s">
        <v>12</v>
      </c>
      <c r="N3" s="65" t="s">
        <v>13</v>
      </c>
      <c r="O3" s="65" t="s">
        <v>14</v>
      </c>
      <c r="P3" s="65" t="s">
        <v>15</v>
      </c>
      <c r="Q3" s="65" t="s">
        <v>16</v>
      </c>
      <c r="R3" s="65" t="s">
        <v>17</v>
      </c>
      <c r="S3" s="65" t="s">
        <v>18</v>
      </c>
      <c r="T3" s="65" t="s">
        <v>19</v>
      </c>
      <c r="U3" s="65" t="s">
        <v>20</v>
      </c>
      <c r="V3" s="65" t="s">
        <v>21</v>
      </c>
      <c r="W3" s="65" t="s">
        <v>22</v>
      </c>
      <c r="X3" s="65" t="s">
        <v>23</v>
      </c>
      <c r="Y3" s="65" t="s">
        <v>24</v>
      </c>
      <c r="Z3" s="65" t="s">
        <v>25</v>
      </c>
      <c r="AA3" s="65" t="s">
        <v>26</v>
      </c>
      <c r="AB3" s="65" t="s">
        <v>27</v>
      </c>
      <c r="AC3" s="64" t="s">
        <v>28</v>
      </c>
      <c r="AD3" s="65" t="s">
        <v>29</v>
      </c>
      <c r="AE3" s="34" t="s">
        <v>30</v>
      </c>
    </row>
    <row r="4" spans="1:31" x14ac:dyDescent="0.25">
      <c r="A4" s="3" t="s">
        <v>242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0"/>
    </row>
    <row r="5" spans="1:31" x14ac:dyDescent="0.25">
      <c r="A5" s="22" t="s">
        <v>243</v>
      </c>
      <c r="B5" s="9">
        <v>1004412</v>
      </c>
      <c r="C5" s="9">
        <v>2000000</v>
      </c>
      <c r="D5" s="9">
        <v>3572710</v>
      </c>
      <c r="E5" s="9">
        <v>1102273</v>
      </c>
      <c r="F5" s="9">
        <v>16214453</v>
      </c>
      <c r="G5" s="9">
        <v>2988057</v>
      </c>
      <c r="H5" s="9">
        <v>2513651</v>
      </c>
      <c r="I5" s="9">
        <v>14500000</v>
      </c>
      <c r="J5" s="9">
        <v>8098037</v>
      </c>
      <c r="K5" s="9">
        <v>7670000</v>
      </c>
      <c r="L5" s="9">
        <v>4511507</v>
      </c>
      <c r="M5" s="9">
        <v>2693215</v>
      </c>
      <c r="N5" s="9">
        <v>1350000</v>
      </c>
      <c r="O5" s="9">
        <v>9843500</v>
      </c>
      <c r="P5" s="9">
        <v>1125000</v>
      </c>
      <c r="Q5" s="9">
        <v>9260000</v>
      </c>
      <c r="R5" s="9">
        <v>1000000</v>
      </c>
      <c r="S5" s="9">
        <v>2000000</v>
      </c>
      <c r="T5" s="9">
        <v>2000000</v>
      </c>
      <c r="U5" s="9">
        <v>2070000</v>
      </c>
      <c r="V5" s="9">
        <v>1257750</v>
      </c>
      <c r="W5" s="9">
        <v>5247494.8</v>
      </c>
      <c r="X5" s="9">
        <v>3310000</v>
      </c>
      <c r="Y5" s="9">
        <v>2155000</v>
      </c>
      <c r="Z5" s="9">
        <v>2586303</v>
      </c>
      <c r="AA5" s="9">
        <v>4555761</v>
      </c>
      <c r="AB5" s="9">
        <v>6325000</v>
      </c>
      <c r="AC5" s="9">
        <v>1500000</v>
      </c>
      <c r="AD5" s="9"/>
      <c r="AE5" s="10">
        <f t="shared" ref="AE5:AE10" si="0">SUM(B5:AD5)</f>
        <v>122454123.8</v>
      </c>
    </row>
    <row r="6" spans="1:31" x14ac:dyDescent="0.25">
      <c r="A6" s="22" t="s">
        <v>244</v>
      </c>
      <c r="B6" s="9">
        <v>1470588</v>
      </c>
      <c r="C6" s="9">
        <v>27672613</v>
      </c>
      <c r="D6" s="9">
        <v>2587793</v>
      </c>
      <c r="E6" s="9">
        <v>34073198</v>
      </c>
      <c r="F6" s="9">
        <v>1720185</v>
      </c>
      <c r="G6" s="9">
        <v>7762966</v>
      </c>
      <c r="H6" s="9">
        <v>3225813</v>
      </c>
      <c r="I6" s="9">
        <v>21691948.210000001</v>
      </c>
      <c r="J6" s="9"/>
      <c r="K6" s="9"/>
      <c r="L6" s="9">
        <v>32741436</v>
      </c>
      <c r="M6" s="9">
        <v>14163250</v>
      </c>
      <c r="N6" s="9"/>
      <c r="O6" s="9"/>
      <c r="P6" s="9">
        <v>1455000</v>
      </c>
      <c r="Q6" s="9"/>
      <c r="R6" s="9">
        <v>39322413</v>
      </c>
      <c r="S6" s="9">
        <v>119701630</v>
      </c>
      <c r="T6" s="9">
        <v>14467969</v>
      </c>
      <c r="U6" s="9">
        <v>228477</v>
      </c>
      <c r="V6" s="9">
        <v>11219055</v>
      </c>
      <c r="W6" s="9"/>
      <c r="X6" s="9">
        <v>3152291</v>
      </c>
      <c r="Y6" s="9">
        <v>13326000</v>
      </c>
      <c r="Z6" s="9">
        <v>8817194</v>
      </c>
      <c r="AA6" s="9">
        <v>5745592</v>
      </c>
      <c r="AB6" s="9">
        <v>5506991</v>
      </c>
      <c r="AC6" s="9">
        <v>36668787</v>
      </c>
      <c r="AD6" s="9"/>
      <c r="AE6" s="10">
        <f t="shared" si="0"/>
        <v>406721189.21000004</v>
      </c>
    </row>
    <row r="7" spans="1:31" x14ac:dyDescent="0.25">
      <c r="A7" s="22" t="s">
        <v>245</v>
      </c>
      <c r="B7" s="9">
        <v>313</v>
      </c>
      <c r="C7" s="9">
        <v>96522</v>
      </c>
      <c r="D7" s="9">
        <v>781</v>
      </c>
      <c r="E7" s="9">
        <v>170787</v>
      </c>
      <c r="F7" s="9">
        <v>16339</v>
      </c>
      <c r="G7" s="9">
        <v>203439</v>
      </c>
      <c r="H7" s="9">
        <v>157</v>
      </c>
      <c r="I7" s="9">
        <v>3022968.16</v>
      </c>
      <c r="J7" s="9">
        <f>39812+9136</f>
        <v>48948</v>
      </c>
      <c r="K7" s="9">
        <f>2191+6467</f>
        <v>8658</v>
      </c>
      <c r="L7" s="9">
        <v>6772438</v>
      </c>
      <c r="M7" s="9">
        <f>-1481-394</f>
        <v>-1875</v>
      </c>
      <c r="N7" s="9"/>
      <c r="O7" s="9">
        <f>132+265</f>
        <v>397</v>
      </c>
      <c r="P7" s="9">
        <v>385</v>
      </c>
      <c r="Q7" s="9">
        <f>1320+1316</f>
        <v>2636</v>
      </c>
      <c r="R7" s="9">
        <f>45831941+11816638</f>
        <v>57648579</v>
      </c>
      <c r="S7" s="9">
        <v>236928853</v>
      </c>
      <c r="T7" s="9">
        <v>103298060</v>
      </c>
      <c r="U7" s="9">
        <v>2059</v>
      </c>
      <c r="V7" s="9">
        <f>15012+77309</f>
        <v>92321</v>
      </c>
      <c r="W7" s="9"/>
      <c r="X7" s="9">
        <f>21731+82827</f>
        <v>104558</v>
      </c>
      <c r="Y7" s="9">
        <v>-8263</v>
      </c>
      <c r="Z7" s="9">
        <f>-164+21962</f>
        <v>21798</v>
      </c>
      <c r="AA7" s="9"/>
      <c r="AB7" s="9">
        <f>442317+136460</f>
        <v>578777</v>
      </c>
      <c r="AC7" s="9">
        <v>56953581</v>
      </c>
      <c r="AD7" s="9"/>
      <c r="AE7" s="10">
        <f t="shared" si="0"/>
        <v>465963216.15999997</v>
      </c>
    </row>
    <row r="8" spans="1:31" x14ac:dyDescent="0.25">
      <c r="A8" s="22" t="s">
        <v>246</v>
      </c>
      <c r="B8" s="9"/>
      <c r="C8" s="9"/>
      <c r="D8" s="9"/>
      <c r="E8" s="9"/>
      <c r="F8" s="9"/>
      <c r="G8" s="9"/>
      <c r="H8" s="9">
        <v>430000</v>
      </c>
      <c r="I8" s="9"/>
      <c r="J8" s="9"/>
      <c r="K8" s="9"/>
      <c r="L8" s="9">
        <v>4850000</v>
      </c>
      <c r="M8" s="9"/>
      <c r="N8" s="9"/>
      <c r="O8" s="9"/>
      <c r="P8" s="9">
        <v>3613</v>
      </c>
      <c r="Q8" s="9"/>
      <c r="R8" s="9">
        <v>8950000</v>
      </c>
      <c r="S8" s="9"/>
      <c r="T8" s="9"/>
      <c r="U8" s="9"/>
      <c r="V8" s="9">
        <v>2300000</v>
      </c>
      <c r="W8" s="9"/>
      <c r="X8" s="9">
        <v>1000000</v>
      </c>
      <c r="Y8" s="9"/>
      <c r="Z8" s="9"/>
      <c r="AA8" s="9"/>
      <c r="AB8" s="9">
        <v>1780000</v>
      </c>
      <c r="AC8" s="9"/>
      <c r="AD8" s="9"/>
      <c r="AE8" s="10">
        <f t="shared" si="0"/>
        <v>19313613</v>
      </c>
    </row>
    <row r="9" spans="1:31" x14ac:dyDescent="0.25">
      <c r="A9" s="22" t="s">
        <v>41</v>
      </c>
      <c r="B9" s="9">
        <f>B10-B8-B7-B6-B5</f>
        <v>0</v>
      </c>
      <c r="C9" s="9">
        <f t="shared" ref="C9:AD9" si="1">C10-C8-C7-C6-C5</f>
        <v>0</v>
      </c>
      <c r="D9" s="9">
        <f t="shared" si="1"/>
        <v>0</v>
      </c>
      <c r="E9" s="9">
        <f t="shared" si="1"/>
        <v>0</v>
      </c>
      <c r="F9" s="9">
        <f t="shared" si="1"/>
        <v>0</v>
      </c>
      <c r="G9" s="9">
        <f t="shared" si="1"/>
        <v>0</v>
      </c>
      <c r="H9" s="9">
        <f t="shared" si="1"/>
        <v>0</v>
      </c>
      <c r="I9" s="9">
        <f t="shared" si="1"/>
        <v>0</v>
      </c>
      <c r="J9" s="9">
        <f t="shared" si="1"/>
        <v>0</v>
      </c>
      <c r="K9" s="9">
        <f t="shared" si="1"/>
        <v>0</v>
      </c>
      <c r="L9" s="9">
        <f t="shared" si="1"/>
        <v>12755</v>
      </c>
      <c r="M9" s="9">
        <f t="shared" si="1"/>
        <v>0</v>
      </c>
      <c r="N9" s="9">
        <f t="shared" si="1"/>
        <v>0</v>
      </c>
      <c r="O9" s="9">
        <f t="shared" si="1"/>
        <v>0</v>
      </c>
      <c r="P9" s="9">
        <f t="shared" si="1"/>
        <v>0</v>
      </c>
      <c r="Q9" s="9">
        <f t="shared" si="1"/>
        <v>0</v>
      </c>
      <c r="R9" s="9">
        <f t="shared" si="1"/>
        <v>0</v>
      </c>
      <c r="S9" s="9">
        <f t="shared" si="1"/>
        <v>0</v>
      </c>
      <c r="T9" s="9">
        <f t="shared" si="1"/>
        <v>0</v>
      </c>
      <c r="U9" s="9">
        <f t="shared" si="1"/>
        <v>0</v>
      </c>
      <c r="V9" s="9">
        <f t="shared" si="1"/>
        <v>0</v>
      </c>
      <c r="W9" s="9">
        <f t="shared" si="1"/>
        <v>0</v>
      </c>
      <c r="X9" s="9">
        <f t="shared" si="1"/>
        <v>0</v>
      </c>
      <c r="Y9" s="9">
        <f t="shared" si="1"/>
        <v>0</v>
      </c>
      <c r="Z9" s="9">
        <f t="shared" si="1"/>
        <v>927</v>
      </c>
      <c r="AA9" s="9">
        <f t="shared" si="1"/>
        <v>0</v>
      </c>
      <c r="AB9" s="9">
        <f t="shared" si="1"/>
        <v>0</v>
      </c>
      <c r="AC9" s="9">
        <f t="shared" si="1"/>
        <v>0</v>
      </c>
      <c r="AD9" s="9">
        <f t="shared" si="1"/>
        <v>0</v>
      </c>
      <c r="AE9" s="10">
        <f t="shared" si="0"/>
        <v>13682</v>
      </c>
    </row>
    <row r="10" spans="1:31" s="7" customFormat="1" x14ac:dyDescent="0.25">
      <c r="A10" s="3" t="s">
        <v>51</v>
      </c>
      <c r="B10" s="10">
        <v>2475313</v>
      </c>
      <c r="C10" s="10">
        <v>29769135</v>
      </c>
      <c r="D10" s="10">
        <v>6161284</v>
      </c>
      <c r="E10" s="10">
        <v>35346258</v>
      </c>
      <c r="F10" s="10">
        <v>17950977</v>
      </c>
      <c r="G10" s="10">
        <v>10954462</v>
      </c>
      <c r="H10" s="10">
        <v>6169621</v>
      </c>
      <c r="I10" s="10">
        <v>39214916.369999997</v>
      </c>
      <c r="J10" s="10">
        <v>8146985</v>
      </c>
      <c r="K10" s="10">
        <v>7678658</v>
      </c>
      <c r="L10" s="10">
        <v>48888136</v>
      </c>
      <c r="M10" s="10">
        <v>16854590</v>
      </c>
      <c r="N10" s="10">
        <v>1350000</v>
      </c>
      <c r="O10" s="10">
        <v>9843897</v>
      </c>
      <c r="P10" s="10">
        <v>2583998</v>
      </c>
      <c r="Q10" s="10">
        <v>9262636</v>
      </c>
      <c r="R10" s="10">
        <v>106920992</v>
      </c>
      <c r="S10" s="10">
        <v>358630483</v>
      </c>
      <c r="T10" s="10">
        <v>119766029</v>
      </c>
      <c r="U10" s="10">
        <v>2300536</v>
      </c>
      <c r="V10" s="10">
        <v>14869126</v>
      </c>
      <c r="W10" s="10">
        <v>5247494.8</v>
      </c>
      <c r="X10" s="10">
        <v>7566849</v>
      </c>
      <c r="Y10" s="10">
        <v>15472737</v>
      </c>
      <c r="Z10" s="10">
        <v>11426222</v>
      </c>
      <c r="AA10" s="10">
        <v>10301353</v>
      </c>
      <c r="AB10" s="10">
        <v>14190768</v>
      </c>
      <c r="AC10" s="10">
        <v>95122368</v>
      </c>
      <c r="AD10" s="10"/>
      <c r="AE10" s="10">
        <f t="shared" si="0"/>
        <v>1014465824.17</v>
      </c>
    </row>
    <row r="11" spans="1:31" s="7" customFormat="1" x14ac:dyDescent="0.25">
      <c r="A11" s="3" t="s">
        <v>247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x14ac:dyDescent="0.25">
      <c r="A12" s="22" t="s">
        <v>248</v>
      </c>
      <c r="B12" s="9">
        <v>1518255</v>
      </c>
      <c r="C12" s="9"/>
      <c r="D12" s="9"/>
      <c r="E12" s="9"/>
      <c r="F12" s="9"/>
      <c r="G12" s="9">
        <v>8021063</v>
      </c>
      <c r="H12" s="9"/>
      <c r="I12" s="9"/>
      <c r="J12" s="9"/>
      <c r="K12" s="9">
        <v>1652357</v>
      </c>
      <c r="L12" s="9"/>
      <c r="M12" s="9">
        <v>13803267</v>
      </c>
      <c r="N12" s="9">
        <v>773744</v>
      </c>
      <c r="O12" s="9">
        <v>2768858</v>
      </c>
      <c r="P12" s="9">
        <v>2056978</v>
      </c>
      <c r="Q12" s="9">
        <v>2786306</v>
      </c>
      <c r="R12" s="9">
        <v>50247026.640223175</v>
      </c>
      <c r="S12" s="9"/>
      <c r="T12" s="9"/>
      <c r="U12" s="9"/>
      <c r="V12" s="9"/>
      <c r="W12" s="9"/>
      <c r="X12" s="9">
        <v>6992814</v>
      </c>
      <c r="Y12" s="9">
        <v>8461812</v>
      </c>
      <c r="Z12" s="9"/>
      <c r="AA12" s="9"/>
      <c r="AB12" s="9">
        <v>9717098</v>
      </c>
      <c r="AC12" s="9"/>
      <c r="AD12" s="9"/>
      <c r="AE12" s="10">
        <f t="shared" ref="AE12:AE28" si="2">SUM(B12:AD12)</f>
        <v>108799578.64022318</v>
      </c>
    </row>
    <row r="13" spans="1:31" x14ac:dyDescent="0.25">
      <c r="A13" s="22" t="s">
        <v>249</v>
      </c>
      <c r="B13" s="9">
        <v>770979</v>
      </c>
      <c r="C13" s="9"/>
      <c r="D13" s="9"/>
      <c r="E13" s="9"/>
      <c r="F13" s="9"/>
      <c r="G13" s="9">
        <v>41027338</v>
      </c>
      <c r="H13" s="9"/>
      <c r="I13" s="9"/>
      <c r="J13" s="9"/>
      <c r="K13" s="9">
        <v>4876508</v>
      </c>
      <c r="L13" s="9"/>
      <c r="M13" s="9">
        <v>51813619</v>
      </c>
      <c r="N13" s="9">
        <v>697901</v>
      </c>
      <c r="O13" s="9">
        <v>5361487</v>
      </c>
      <c r="P13" s="9">
        <v>6947094</v>
      </c>
      <c r="Q13" s="9">
        <v>3490121</v>
      </c>
      <c r="R13" s="9">
        <v>194887804.35977679</v>
      </c>
      <c r="S13" s="9"/>
      <c r="T13" s="9"/>
      <c r="U13" s="9"/>
      <c r="V13" s="9"/>
      <c r="W13" s="9"/>
      <c r="X13" s="9">
        <v>26653061</v>
      </c>
      <c r="Y13" s="9">
        <v>35194204</v>
      </c>
      <c r="Z13" s="9"/>
      <c r="AA13" s="9"/>
      <c r="AB13" s="9">
        <v>38794271</v>
      </c>
      <c r="AC13" s="9"/>
      <c r="AD13" s="9"/>
      <c r="AE13" s="10">
        <f t="shared" si="2"/>
        <v>410514387.35977679</v>
      </c>
    </row>
    <row r="14" spans="1:31" s="39" customFormat="1" x14ac:dyDescent="0.25">
      <c r="A14" s="14" t="s">
        <v>250</v>
      </c>
      <c r="B14" s="38">
        <f>B12+B13</f>
        <v>2289234</v>
      </c>
      <c r="C14" s="38">
        <v>74875207</v>
      </c>
      <c r="D14" s="38">
        <v>9154595</v>
      </c>
      <c r="E14" s="38">
        <v>102727526</v>
      </c>
      <c r="F14" s="38">
        <v>28721865</v>
      </c>
      <c r="G14" s="38">
        <f t="shared" ref="G14:AD14" si="3">G12+G13</f>
        <v>49048401</v>
      </c>
      <c r="H14" s="38">
        <v>2760053</v>
      </c>
      <c r="I14" s="38">
        <v>78917337.349999994</v>
      </c>
      <c r="J14" s="38">
        <v>24835524</v>
      </c>
      <c r="K14" s="38">
        <f t="shared" si="3"/>
        <v>6528865</v>
      </c>
      <c r="L14" s="38">
        <v>150789036</v>
      </c>
      <c r="M14" s="38">
        <f t="shared" si="3"/>
        <v>65616886</v>
      </c>
      <c r="N14" s="38">
        <f t="shared" si="3"/>
        <v>1471645</v>
      </c>
      <c r="O14" s="38">
        <f t="shared" si="3"/>
        <v>8130345</v>
      </c>
      <c r="P14" s="38">
        <f t="shared" si="3"/>
        <v>9004072</v>
      </c>
      <c r="Q14" s="38">
        <f t="shared" si="3"/>
        <v>6276427</v>
      </c>
      <c r="R14" s="38">
        <f t="shared" si="3"/>
        <v>245134830.99999997</v>
      </c>
      <c r="S14" s="38">
        <v>514302038</v>
      </c>
      <c r="T14" s="38">
        <v>228022027</v>
      </c>
      <c r="U14" s="38">
        <v>2928603</v>
      </c>
      <c r="V14" s="38">
        <v>67242657</v>
      </c>
      <c r="W14" s="38">
        <v>6068062.0999999996</v>
      </c>
      <c r="X14" s="38">
        <f t="shared" si="3"/>
        <v>33645875</v>
      </c>
      <c r="Y14" s="38">
        <f t="shared" si="3"/>
        <v>43656016</v>
      </c>
      <c r="Z14" s="38">
        <v>67158819</v>
      </c>
      <c r="AA14" s="38">
        <v>14284773</v>
      </c>
      <c r="AB14" s="38">
        <f t="shared" si="3"/>
        <v>48511369</v>
      </c>
      <c r="AC14" s="38">
        <v>271252752</v>
      </c>
      <c r="AD14" s="38">
        <f t="shared" si="3"/>
        <v>0</v>
      </c>
      <c r="AE14" s="10">
        <f t="shared" si="2"/>
        <v>2163354840.4499998</v>
      </c>
    </row>
    <row r="15" spans="1:31" x14ac:dyDescent="0.25">
      <c r="A15" s="22" t="s">
        <v>251</v>
      </c>
      <c r="B15" s="9"/>
      <c r="C15" s="9">
        <v>49029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1870849</v>
      </c>
      <c r="S15" s="9">
        <v>3089395</v>
      </c>
      <c r="T15" s="9">
        <v>1496960</v>
      </c>
      <c r="U15" s="9"/>
      <c r="V15" s="9"/>
      <c r="W15" s="9"/>
      <c r="X15" s="9"/>
      <c r="Y15" s="9"/>
      <c r="Z15" s="9"/>
      <c r="AA15" s="9"/>
      <c r="AB15" s="9"/>
      <c r="AC15" s="9">
        <v>2588177</v>
      </c>
      <c r="AD15" s="9"/>
      <c r="AE15" s="10">
        <f t="shared" si="2"/>
        <v>9094410</v>
      </c>
    </row>
    <row r="16" spans="1:31" x14ac:dyDescent="0.25">
      <c r="A16" s="22" t="s">
        <v>252</v>
      </c>
      <c r="B16" s="9">
        <v>285970</v>
      </c>
      <c r="C16" s="9">
        <v>1048278</v>
      </c>
      <c r="D16" s="9">
        <v>288980</v>
      </c>
      <c r="E16" s="9">
        <v>2965614</v>
      </c>
      <c r="F16" s="9">
        <v>112869</v>
      </c>
      <c r="G16" s="9">
        <v>691384</v>
      </c>
      <c r="H16" s="9">
        <v>16616</v>
      </c>
      <c r="I16" s="9">
        <v>2330001.84</v>
      </c>
      <c r="J16" s="9">
        <v>162651</v>
      </c>
      <c r="K16" s="9">
        <v>73653</v>
      </c>
      <c r="L16" s="9">
        <v>3826654</v>
      </c>
      <c r="M16" s="9">
        <v>301536</v>
      </c>
      <c r="N16" s="9">
        <v>136711</v>
      </c>
      <c r="O16" s="9">
        <v>251771</v>
      </c>
      <c r="P16" s="9">
        <v>149704</v>
      </c>
      <c r="Q16" s="9">
        <v>327967</v>
      </c>
      <c r="R16" s="9">
        <v>2835419.1742402222</v>
      </c>
      <c r="S16" s="9">
        <v>3641124</v>
      </c>
      <c r="T16" s="9">
        <v>4298274</v>
      </c>
      <c r="U16" s="9">
        <v>10561</v>
      </c>
      <c r="V16" s="9">
        <v>321739</v>
      </c>
      <c r="W16" s="9">
        <v>456841.5</v>
      </c>
      <c r="X16" s="9">
        <v>286017</v>
      </c>
      <c r="Y16" s="9">
        <v>373414</v>
      </c>
      <c r="Z16" s="9">
        <v>490698</v>
      </c>
      <c r="AA16" s="9">
        <v>838073</v>
      </c>
      <c r="AB16" s="9">
        <v>1092095</v>
      </c>
      <c r="AC16" s="9">
        <v>1520685</v>
      </c>
      <c r="AD16" s="9"/>
      <c r="AE16" s="10">
        <f t="shared" si="2"/>
        <v>29135300.51424022</v>
      </c>
    </row>
    <row r="17" spans="1:31" x14ac:dyDescent="0.25">
      <c r="A17" s="22" t="s">
        <v>253</v>
      </c>
      <c r="B17" s="9"/>
      <c r="C17" s="9">
        <v>86</v>
      </c>
      <c r="D17" s="9">
        <v>149806</v>
      </c>
      <c r="E17" s="9">
        <v>642755</v>
      </c>
      <c r="F17" s="9"/>
      <c r="G17" s="9">
        <v>693176</v>
      </c>
      <c r="H17" s="9"/>
      <c r="I17" s="9">
        <v>193550.53</v>
      </c>
      <c r="J17" s="9"/>
      <c r="K17" s="9"/>
      <c r="L17" s="9">
        <v>872289</v>
      </c>
      <c r="M17" s="9">
        <v>245700</v>
      </c>
      <c r="N17" s="9"/>
      <c r="O17" s="9"/>
      <c r="P17" s="9">
        <v>99482</v>
      </c>
      <c r="Q17" s="9"/>
      <c r="R17" s="9"/>
      <c r="S17" s="9">
        <v>2245810</v>
      </c>
      <c r="T17" s="9"/>
      <c r="U17" s="9">
        <v>12070</v>
      </c>
      <c r="V17" s="9">
        <v>372735</v>
      </c>
      <c r="W17" s="9"/>
      <c r="X17" s="9">
        <v>240026</v>
      </c>
      <c r="Y17" s="9"/>
      <c r="Z17" s="9">
        <v>303960</v>
      </c>
      <c r="AA17" s="9"/>
      <c r="AB17" s="9">
        <v>224415</v>
      </c>
      <c r="AC17" s="9"/>
      <c r="AD17" s="9"/>
      <c r="AE17" s="10">
        <f t="shared" si="2"/>
        <v>6295860.5300000003</v>
      </c>
    </row>
    <row r="18" spans="1:31" x14ac:dyDescent="0.25">
      <c r="A18" s="14" t="s">
        <v>254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10">
        <f t="shared" si="2"/>
        <v>0</v>
      </c>
    </row>
    <row r="19" spans="1:31" x14ac:dyDescent="0.25">
      <c r="A19" s="22" t="s">
        <v>255</v>
      </c>
      <c r="B19" s="9">
        <v>363690</v>
      </c>
      <c r="C19" s="9">
        <v>12702509</v>
      </c>
      <c r="D19" s="9">
        <v>1585817</v>
      </c>
      <c r="E19" s="9">
        <v>5563640</v>
      </c>
      <c r="F19" s="9">
        <v>564689</v>
      </c>
      <c r="G19" s="9">
        <v>400309</v>
      </c>
      <c r="H19" s="9">
        <v>231933</v>
      </c>
      <c r="I19" s="9">
        <v>4516152.67</v>
      </c>
      <c r="J19" s="9">
        <v>882564</v>
      </c>
      <c r="K19" s="9">
        <v>131573</v>
      </c>
      <c r="L19" s="9">
        <v>1940353</v>
      </c>
      <c r="M19" s="9">
        <v>1292778</v>
      </c>
      <c r="N19" s="9">
        <v>32703</v>
      </c>
      <c r="O19" s="9">
        <v>402259</v>
      </c>
      <c r="P19" s="9">
        <v>168149</v>
      </c>
      <c r="Q19" s="9">
        <v>176510</v>
      </c>
      <c r="R19" s="9">
        <v>15875366</v>
      </c>
      <c r="S19" s="9">
        <v>80191755</v>
      </c>
      <c r="T19" s="9">
        <v>23565923</v>
      </c>
      <c r="U19" s="9">
        <v>33568</v>
      </c>
      <c r="V19" s="9">
        <v>1738568</v>
      </c>
      <c r="W19" s="9">
        <v>358579.9</v>
      </c>
      <c r="X19" s="9">
        <v>774356</v>
      </c>
      <c r="Y19" s="9">
        <v>340347</v>
      </c>
      <c r="Z19" s="9">
        <v>331593</v>
      </c>
      <c r="AA19" s="9">
        <v>3311056</v>
      </c>
      <c r="AB19" s="9">
        <v>2341356</v>
      </c>
      <c r="AC19" s="9">
        <v>19164266</v>
      </c>
      <c r="AD19" s="9"/>
      <c r="AE19" s="10">
        <f t="shared" si="2"/>
        <v>178982362.57000002</v>
      </c>
    </row>
    <row r="20" spans="1:31" x14ac:dyDescent="0.25">
      <c r="A20" s="22" t="s">
        <v>256</v>
      </c>
      <c r="B20" s="9">
        <v>193386</v>
      </c>
      <c r="C20" s="9">
        <v>28653769</v>
      </c>
      <c r="D20" s="9">
        <v>1086130</v>
      </c>
      <c r="E20" s="9">
        <v>15388871</v>
      </c>
      <c r="F20" s="9">
        <v>2453105</v>
      </c>
      <c r="G20" s="9">
        <v>7221391</v>
      </c>
      <c r="H20" s="9">
        <v>284634</v>
      </c>
      <c r="I20" s="9">
        <v>11794464.41</v>
      </c>
      <c r="J20" s="9">
        <v>4273340</v>
      </c>
      <c r="K20" s="9">
        <v>406671</v>
      </c>
      <c r="L20" s="9">
        <v>76080423</v>
      </c>
      <c r="M20" s="9">
        <v>4512298</v>
      </c>
      <c r="N20" s="9">
        <v>96485</v>
      </c>
      <c r="O20" s="9">
        <v>852452</v>
      </c>
      <c r="P20" s="9">
        <v>1075466</v>
      </c>
      <c r="Q20" s="9">
        <v>478719</v>
      </c>
      <c r="R20" s="9">
        <v>56735064</v>
      </c>
      <c r="S20" s="9">
        <v>88257984</v>
      </c>
      <c r="T20" s="9">
        <v>36239470</v>
      </c>
      <c r="U20" s="9">
        <v>230381</v>
      </c>
      <c r="V20" s="9">
        <v>7074372</v>
      </c>
      <c r="W20" s="9">
        <v>610467.69999999995</v>
      </c>
      <c r="X20" s="9">
        <v>2310716</v>
      </c>
      <c r="Y20" s="9">
        <v>3098364</v>
      </c>
      <c r="Z20" s="9">
        <v>3908507</v>
      </c>
      <c r="AA20" s="9">
        <v>3692238</v>
      </c>
      <c r="AB20" s="9">
        <v>6696563</v>
      </c>
      <c r="AC20" s="9">
        <v>43652327</v>
      </c>
      <c r="AD20" s="9"/>
      <c r="AE20" s="10">
        <f t="shared" si="2"/>
        <v>407358058.10999995</v>
      </c>
    </row>
    <row r="21" spans="1:31" s="39" customFormat="1" x14ac:dyDescent="0.25">
      <c r="A21" s="14" t="s">
        <v>257</v>
      </c>
      <c r="B21" s="38">
        <f>B19+B20</f>
        <v>557076</v>
      </c>
      <c r="C21" s="38">
        <f t="shared" ref="C21:AD21" si="4">C19+C20</f>
        <v>41356278</v>
      </c>
      <c r="D21" s="38">
        <f t="shared" si="4"/>
        <v>2671947</v>
      </c>
      <c r="E21" s="38">
        <f t="shared" si="4"/>
        <v>20952511</v>
      </c>
      <c r="F21" s="38">
        <f t="shared" si="4"/>
        <v>3017794</v>
      </c>
      <c r="G21" s="38">
        <f t="shared" si="4"/>
        <v>7621700</v>
      </c>
      <c r="H21" s="38">
        <f t="shared" si="4"/>
        <v>516567</v>
      </c>
      <c r="I21" s="38">
        <f t="shared" si="4"/>
        <v>16310617.08</v>
      </c>
      <c r="J21" s="38">
        <f t="shared" si="4"/>
        <v>5155904</v>
      </c>
      <c r="K21" s="38">
        <f t="shared" si="4"/>
        <v>538244</v>
      </c>
      <c r="L21" s="38">
        <f t="shared" si="4"/>
        <v>78020776</v>
      </c>
      <c r="M21" s="38">
        <f t="shared" si="4"/>
        <v>5805076</v>
      </c>
      <c r="N21" s="38">
        <f t="shared" si="4"/>
        <v>129188</v>
      </c>
      <c r="O21" s="38">
        <f t="shared" si="4"/>
        <v>1254711</v>
      </c>
      <c r="P21" s="38">
        <f t="shared" si="4"/>
        <v>1243615</v>
      </c>
      <c r="Q21" s="38">
        <f t="shared" si="4"/>
        <v>655229</v>
      </c>
      <c r="R21" s="38">
        <f t="shared" si="4"/>
        <v>72610430</v>
      </c>
      <c r="S21" s="38">
        <f t="shared" si="4"/>
        <v>168449739</v>
      </c>
      <c r="T21" s="38">
        <f t="shared" si="4"/>
        <v>59805393</v>
      </c>
      <c r="U21" s="38">
        <f t="shared" si="4"/>
        <v>263949</v>
      </c>
      <c r="V21" s="38">
        <f t="shared" si="4"/>
        <v>8812940</v>
      </c>
      <c r="W21" s="38">
        <f t="shared" si="4"/>
        <v>969047.6</v>
      </c>
      <c r="X21" s="38">
        <f t="shared" si="4"/>
        <v>3085072</v>
      </c>
      <c r="Y21" s="38">
        <f t="shared" si="4"/>
        <v>3438711</v>
      </c>
      <c r="Z21" s="38">
        <f t="shared" si="4"/>
        <v>4240100</v>
      </c>
      <c r="AA21" s="38">
        <f t="shared" si="4"/>
        <v>7003294</v>
      </c>
      <c r="AB21" s="38">
        <f t="shared" si="4"/>
        <v>9037919</v>
      </c>
      <c r="AC21" s="38">
        <f t="shared" si="4"/>
        <v>62816593</v>
      </c>
      <c r="AD21" s="38">
        <f t="shared" si="4"/>
        <v>0</v>
      </c>
      <c r="AE21" s="10">
        <f t="shared" si="2"/>
        <v>586340420.68000007</v>
      </c>
    </row>
    <row r="22" spans="1:31" x14ac:dyDescent="0.25">
      <c r="A22" s="22" t="s">
        <v>258</v>
      </c>
      <c r="B22" s="9">
        <v>1222334</v>
      </c>
      <c r="C22" s="9">
        <v>78306748</v>
      </c>
      <c r="D22" s="9">
        <v>3167026</v>
      </c>
      <c r="E22" s="9">
        <v>62325844</v>
      </c>
      <c r="F22" s="9">
        <v>19827725</v>
      </c>
      <c r="G22" s="9">
        <v>31233709</v>
      </c>
      <c r="H22" s="9">
        <v>899172</v>
      </c>
      <c r="I22" s="9">
        <v>52390652.479999997</v>
      </c>
      <c r="J22" s="9">
        <v>18188112</v>
      </c>
      <c r="K22" s="9">
        <v>4367819</v>
      </c>
      <c r="L22" s="9">
        <v>149135765</v>
      </c>
      <c r="M22" s="9">
        <v>40481829</v>
      </c>
      <c r="N22" s="9">
        <v>353386</v>
      </c>
      <c r="O22" s="9">
        <v>3741062</v>
      </c>
      <c r="P22" s="9">
        <v>6469274</v>
      </c>
      <c r="Q22" s="9">
        <v>2071649</v>
      </c>
      <c r="R22" s="9">
        <v>161794685</v>
      </c>
      <c r="S22" s="9">
        <v>237335207</v>
      </c>
      <c r="T22" s="9">
        <v>120091180</v>
      </c>
      <c r="U22" s="9">
        <v>546015</v>
      </c>
      <c r="V22" s="9">
        <v>51184388</v>
      </c>
      <c r="W22" s="9">
        <v>2679825.5</v>
      </c>
      <c r="X22" s="9">
        <v>19420641</v>
      </c>
      <c r="Y22" s="9">
        <v>19756707</v>
      </c>
      <c r="Z22" s="9">
        <v>50856863</v>
      </c>
      <c r="AA22" s="9">
        <v>2781623</v>
      </c>
      <c r="AB22" s="9">
        <v>28235292</v>
      </c>
      <c r="AC22" s="9">
        <v>169170362</v>
      </c>
      <c r="AD22" s="9"/>
      <c r="AE22" s="10">
        <f t="shared" si="2"/>
        <v>1338034894.98</v>
      </c>
    </row>
    <row r="23" spans="1:31" x14ac:dyDescent="0.25">
      <c r="A23" s="22" t="s">
        <v>69</v>
      </c>
      <c r="B23" s="9">
        <v>453361</v>
      </c>
      <c r="C23" s="9">
        <v>9252995</v>
      </c>
      <c r="D23" s="9">
        <v>5024897</v>
      </c>
      <c r="E23" s="9">
        <v>29616304</v>
      </c>
      <c r="F23" s="9">
        <v>5904428</v>
      </c>
      <c r="G23" s="9">
        <v>15866490</v>
      </c>
      <c r="H23" s="9">
        <v>1061212</v>
      </c>
      <c r="I23" s="9">
        <v>6145937.9500000002</v>
      </c>
      <c r="J23" s="9">
        <v>5994758</v>
      </c>
      <c r="K23" s="9">
        <v>1121081</v>
      </c>
      <c r="L23" s="9">
        <v>35484854</v>
      </c>
      <c r="M23" s="9">
        <v>14632779</v>
      </c>
      <c r="N23" s="9">
        <v>481358</v>
      </c>
      <c r="O23" s="9">
        <v>2649824</v>
      </c>
      <c r="P23" s="9">
        <v>1768062</v>
      </c>
      <c r="Q23" s="9">
        <v>2855301</v>
      </c>
      <c r="R23" s="9">
        <v>55257878</v>
      </c>
      <c r="S23" s="9">
        <v>97975816</v>
      </c>
      <c r="T23" s="9">
        <v>56888643</v>
      </c>
      <c r="U23" s="9">
        <v>368632</v>
      </c>
      <c r="V23" s="9">
        <v>10696557</v>
      </c>
      <c r="W23" s="9">
        <v>2585408.6</v>
      </c>
      <c r="X23" s="9">
        <v>10269500</v>
      </c>
      <c r="Y23" s="9">
        <v>16733492</v>
      </c>
      <c r="Z23" s="9">
        <v>9910492</v>
      </c>
      <c r="AA23" s="9">
        <v>11450158</v>
      </c>
      <c r="AB23" s="9">
        <v>16439738</v>
      </c>
      <c r="AC23" s="9">
        <v>73885477</v>
      </c>
      <c r="AD23" s="9"/>
      <c r="AE23" s="10">
        <f t="shared" si="2"/>
        <v>500775433.55000001</v>
      </c>
    </row>
    <row r="24" spans="1:31" s="39" customFormat="1" x14ac:dyDescent="0.25">
      <c r="A24" s="14" t="s">
        <v>259</v>
      </c>
      <c r="B24" s="38">
        <f>B22+B23</f>
        <v>1675695</v>
      </c>
      <c r="C24" s="38">
        <f t="shared" ref="C24:AD24" si="5">C22+C23</f>
        <v>87559743</v>
      </c>
      <c r="D24" s="38">
        <f t="shared" si="5"/>
        <v>8191923</v>
      </c>
      <c r="E24" s="38">
        <f t="shared" si="5"/>
        <v>91942148</v>
      </c>
      <c r="F24" s="38">
        <f t="shared" si="5"/>
        <v>25732153</v>
      </c>
      <c r="G24" s="38">
        <f t="shared" si="5"/>
        <v>47100199</v>
      </c>
      <c r="H24" s="38">
        <f t="shared" si="5"/>
        <v>1960384</v>
      </c>
      <c r="I24" s="38">
        <f t="shared" si="5"/>
        <v>58536590.43</v>
      </c>
      <c r="J24" s="38">
        <f t="shared" si="5"/>
        <v>24182870</v>
      </c>
      <c r="K24" s="38">
        <f t="shared" si="5"/>
        <v>5488900</v>
      </c>
      <c r="L24" s="38">
        <f t="shared" si="5"/>
        <v>184620619</v>
      </c>
      <c r="M24" s="38">
        <f t="shared" si="5"/>
        <v>55114608</v>
      </c>
      <c r="N24" s="38">
        <f t="shared" si="5"/>
        <v>834744</v>
      </c>
      <c r="O24" s="38">
        <f t="shared" si="5"/>
        <v>6390886</v>
      </c>
      <c r="P24" s="38">
        <f t="shared" si="5"/>
        <v>8237336</v>
      </c>
      <c r="Q24" s="38">
        <f t="shared" si="5"/>
        <v>4926950</v>
      </c>
      <c r="R24" s="38">
        <f t="shared" si="5"/>
        <v>217052563</v>
      </c>
      <c r="S24" s="38">
        <f t="shared" si="5"/>
        <v>335311023</v>
      </c>
      <c r="T24" s="38">
        <f t="shared" si="5"/>
        <v>176979823</v>
      </c>
      <c r="U24" s="38">
        <f t="shared" si="5"/>
        <v>914647</v>
      </c>
      <c r="V24" s="38">
        <f t="shared" si="5"/>
        <v>61880945</v>
      </c>
      <c r="W24" s="38">
        <f t="shared" si="5"/>
        <v>5265234.0999999996</v>
      </c>
      <c r="X24" s="38">
        <f t="shared" si="5"/>
        <v>29690141</v>
      </c>
      <c r="Y24" s="38">
        <f t="shared" si="5"/>
        <v>36490199</v>
      </c>
      <c r="Z24" s="38">
        <f t="shared" si="5"/>
        <v>60767355</v>
      </c>
      <c r="AA24" s="38">
        <f t="shared" si="5"/>
        <v>14231781</v>
      </c>
      <c r="AB24" s="38">
        <f t="shared" si="5"/>
        <v>44675030</v>
      </c>
      <c r="AC24" s="38">
        <f t="shared" si="5"/>
        <v>243055839</v>
      </c>
      <c r="AD24" s="38">
        <f t="shared" si="5"/>
        <v>0</v>
      </c>
      <c r="AE24" s="10">
        <f t="shared" si="2"/>
        <v>1838810328.53</v>
      </c>
    </row>
    <row r="25" spans="1:31" s="7" customFormat="1" x14ac:dyDescent="0.25">
      <c r="A25" s="3" t="s">
        <v>260</v>
      </c>
      <c r="B25" s="10">
        <f>B21-B24</f>
        <v>-1118619</v>
      </c>
      <c r="C25" s="10">
        <f t="shared" ref="C25:AD25" si="6">C21-C24</f>
        <v>-46203465</v>
      </c>
      <c r="D25" s="10">
        <f t="shared" si="6"/>
        <v>-5519976</v>
      </c>
      <c r="E25" s="10">
        <f t="shared" si="6"/>
        <v>-70989637</v>
      </c>
      <c r="F25" s="10">
        <f t="shared" si="6"/>
        <v>-22714359</v>
      </c>
      <c r="G25" s="10">
        <f t="shared" si="6"/>
        <v>-39478499</v>
      </c>
      <c r="H25" s="10">
        <f t="shared" si="6"/>
        <v>-1443817</v>
      </c>
      <c r="I25" s="10">
        <f t="shared" si="6"/>
        <v>-42225973.350000001</v>
      </c>
      <c r="J25" s="10">
        <f t="shared" si="6"/>
        <v>-19026966</v>
      </c>
      <c r="K25" s="10">
        <f t="shared" si="6"/>
        <v>-4950656</v>
      </c>
      <c r="L25" s="10">
        <f t="shared" si="6"/>
        <v>-106599843</v>
      </c>
      <c r="M25" s="10">
        <f t="shared" si="6"/>
        <v>-49309532</v>
      </c>
      <c r="N25" s="10">
        <f t="shared" si="6"/>
        <v>-705556</v>
      </c>
      <c r="O25" s="10">
        <f t="shared" si="6"/>
        <v>-5136175</v>
      </c>
      <c r="P25" s="10">
        <f t="shared" si="6"/>
        <v>-6993721</v>
      </c>
      <c r="Q25" s="10">
        <f t="shared" si="6"/>
        <v>-4271721</v>
      </c>
      <c r="R25" s="10">
        <f t="shared" si="6"/>
        <v>-144442133</v>
      </c>
      <c r="S25" s="10">
        <f t="shared" si="6"/>
        <v>-166861284</v>
      </c>
      <c r="T25" s="10">
        <f t="shared" si="6"/>
        <v>-117174430</v>
      </c>
      <c r="U25" s="10">
        <f t="shared" si="6"/>
        <v>-650698</v>
      </c>
      <c r="V25" s="10">
        <f t="shared" si="6"/>
        <v>-53068005</v>
      </c>
      <c r="W25" s="10">
        <f t="shared" si="6"/>
        <v>-4296186.5</v>
      </c>
      <c r="X25" s="10">
        <f t="shared" si="6"/>
        <v>-26605069</v>
      </c>
      <c r="Y25" s="10">
        <f t="shared" si="6"/>
        <v>-33051488</v>
      </c>
      <c r="Z25" s="10">
        <f t="shared" si="6"/>
        <v>-56527255</v>
      </c>
      <c r="AA25" s="10">
        <f t="shared" si="6"/>
        <v>-7228487</v>
      </c>
      <c r="AB25" s="10">
        <f t="shared" si="6"/>
        <v>-35637111</v>
      </c>
      <c r="AC25" s="10">
        <f t="shared" si="6"/>
        <v>-180239246</v>
      </c>
      <c r="AD25" s="10">
        <f t="shared" si="6"/>
        <v>0</v>
      </c>
      <c r="AE25" s="10">
        <f t="shared" si="2"/>
        <v>-1252469907.8499999</v>
      </c>
    </row>
    <row r="26" spans="1:31" ht="30" x14ac:dyDescent="0.25">
      <c r="A26" s="22" t="s">
        <v>261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v>1522026</v>
      </c>
      <c r="S26" s="9">
        <v>2213400</v>
      </c>
      <c r="T26" s="9">
        <v>3123197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10">
        <f t="shared" si="2"/>
        <v>6858623</v>
      </c>
    </row>
    <row r="27" spans="1:31" ht="30" x14ac:dyDescent="0.25">
      <c r="A27" s="22" t="s">
        <v>262</v>
      </c>
      <c r="B27" s="9">
        <v>1018728</v>
      </c>
      <c r="C27" s="9"/>
      <c r="D27" s="9">
        <v>2087879</v>
      </c>
      <c r="E27" s="9"/>
      <c r="F27" s="9">
        <v>11830602</v>
      </c>
      <c r="G27" s="9"/>
      <c r="H27" s="9">
        <v>4836769</v>
      </c>
      <c r="I27" s="9"/>
      <c r="J27" s="9">
        <v>2175776</v>
      </c>
      <c r="K27" s="9">
        <v>6026796</v>
      </c>
      <c r="L27" s="9"/>
      <c r="M27" s="9"/>
      <c r="N27" s="9">
        <v>447200</v>
      </c>
      <c r="O27" s="9">
        <v>6597956</v>
      </c>
      <c r="P27" s="9">
        <v>324461</v>
      </c>
      <c r="Q27" s="9">
        <v>6929963</v>
      </c>
      <c r="R27" s="9"/>
      <c r="S27" s="9"/>
      <c r="T27" s="9"/>
      <c r="U27" s="9"/>
      <c r="V27" s="9"/>
      <c r="W27" s="9">
        <v>3018777.7</v>
      </c>
      <c r="X27" s="9"/>
      <c r="Y27" s="9">
        <v>4494795</v>
      </c>
      <c r="Z27" s="9"/>
      <c r="AA27" s="9">
        <v>2406995</v>
      </c>
      <c r="AB27" s="9"/>
      <c r="AC27" s="9"/>
      <c r="AD27" s="9"/>
      <c r="AE27" s="10">
        <f t="shared" si="2"/>
        <v>52196697.700000003</v>
      </c>
    </row>
    <row r="28" spans="1:31" s="7" customFormat="1" x14ac:dyDescent="0.25">
      <c r="A28" s="3" t="s">
        <v>51</v>
      </c>
      <c r="B28" s="10">
        <v>2475313</v>
      </c>
      <c r="C28" s="10">
        <v>29769135</v>
      </c>
      <c r="D28" s="10">
        <v>6161284</v>
      </c>
      <c r="E28" s="10">
        <v>35346258</v>
      </c>
      <c r="F28" s="10">
        <v>17950977</v>
      </c>
      <c r="G28" s="10">
        <v>10954462</v>
      </c>
      <c r="H28" s="10">
        <v>6169621</v>
      </c>
      <c r="I28" s="10">
        <v>39214916.369999997</v>
      </c>
      <c r="J28" s="10">
        <v>8146985</v>
      </c>
      <c r="K28" s="10">
        <v>7678658</v>
      </c>
      <c r="L28" s="10">
        <v>48888136</v>
      </c>
      <c r="M28" s="10">
        <v>16854590</v>
      </c>
      <c r="N28" s="10">
        <v>1350000</v>
      </c>
      <c r="O28" s="10">
        <v>9843897</v>
      </c>
      <c r="P28" s="10">
        <v>2583998</v>
      </c>
      <c r="Q28" s="10">
        <v>9262636</v>
      </c>
      <c r="R28" s="10">
        <v>106920992.1742402</v>
      </c>
      <c r="S28" s="10">
        <v>358630483</v>
      </c>
      <c r="T28" s="10">
        <v>119766029</v>
      </c>
      <c r="U28" s="10">
        <v>2300536</v>
      </c>
      <c r="V28" s="10">
        <v>14869126</v>
      </c>
      <c r="W28" s="10">
        <v>5247494.8</v>
      </c>
      <c r="X28" s="10">
        <v>7566849</v>
      </c>
      <c r="Y28" s="10">
        <v>15472737</v>
      </c>
      <c r="Z28" s="10">
        <v>11426222</v>
      </c>
      <c r="AA28" s="10">
        <v>10301353</v>
      </c>
      <c r="AB28" s="10">
        <v>14190768</v>
      </c>
      <c r="AC28" s="10">
        <v>95122368</v>
      </c>
      <c r="AD28" s="10"/>
      <c r="AE28" s="10">
        <f t="shared" si="2"/>
        <v>1014465824.3442402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6" customWidth="1"/>
    <col min="2" max="31" width="16" style="6" customWidth="1"/>
    <col min="32" max="16384" width="9.140625" style="6"/>
  </cols>
  <sheetData>
    <row r="1" spans="1:31" ht="18.75" x14ac:dyDescent="0.3">
      <c r="A1" s="4" t="s">
        <v>241</v>
      </c>
    </row>
    <row r="2" spans="1:31" x14ac:dyDescent="0.25">
      <c r="A2" s="13" t="s">
        <v>43</v>
      </c>
    </row>
    <row r="3" spans="1:31" x14ac:dyDescent="0.25">
      <c r="A3" s="29" t="s">
        <v>226</v>
      </c>
    </row>
    <row r="4" spans="1:31" x14ac:dyDescent="0.25">
      <c r="A4" s="1" t="s">
        <v>0</v>
      </c>
      <c r="B4" s="65" t="s">
        <v>1</v>
      </c>
      <c r="C4" s="65" t="s">
        <v>2</v>
      </c>
      <c r="D4" s="65" t="s">
        <v>3</v>
      </c>
      <c r="E4" s="65" t="s">
        <v>4</v>
      </c>
      <c r="F4" s="65" t="s">
        <v>5</v>
      </c>
      <c r="G4" s="65" t="s">
        <v>6</v>
      </c>
      <c r="H4" s="65" t="s">
        <v>7</v>
      </c>
      <c r="I4" s="65" t="s">
        <v>8</v>
      </c>
      <c r="J4" s="65" t="s">
        <v>9</v>
      </c>
      <c r="K4" s="65" t="s">
        <v>10</v>
      </c>
      <c r="L4" s="65" t="s">
        <v>11</v>
      </c>
      <c r="M4" s="65" t="s">
        <v>12</v>
      </c>
      <c r="N4" s="65" t="s">
        <v>13</v>
      </c>
      <c r="O4" s="65" t="s">
        <v>14</v>
      </c>
      <c r="P4" s="65" t="s">
        <v>15</v>
      </c>
      <c r="Q4" s="65" t="s">
        <v>16</v>
      </c>
      <c r="R4" s="65" t="s">
        <v>17</v>
      </c>
      <c r="S4" s="65" t="s">
        <v>18</v>
      </c>
      <c r="T4" s="65" t="s">
        <v>19</v>
      </c>
      <c r="U4" s="65" t="s">
        <v>20</v>
      </c>
      <c r="V4" s="65" t="s">
        <v>21</v>
      </c>
      <c r="W4" s="65" t="s">
        <v>22</v>
      </c>
      <c r="X4" s="65" t="s">
        <v>23</v>
      </c>
      <c r="Y4" s="65" t="s">
        <v>24</v>
      </c>
      <c r="Z4" s="65" t="s">
        <v>25</v>
      </c>
      <c r="AA4" s="65" t="s">
        <v>26</v>
      </c>
      <c r="AB4" s="65" t="s">
        <v>27</v>
      </c>
      <c r="AC4" s="64" t="s">
        <v>28</v>
      </c>
      <c r="AD4" s="65" t="s">
        <v>29</v>
      </c>
      <c r="AE4" s="40" t="s">
        <v>30</v>
      </c>
    </row>
    <row r="5" spans="1:31" x14ac:dyDescent="0.25">
      <c r="A5" s="9" t="s">
        <v>281</v>
      </c>
      <c r="B5" s="9"/>
      <c r="C5" s="9"/>
      <c r="D5" s="9"/>
      <c r="E5" s="9">
        <v>5387258</v>
      </c>
      <c r="F5" s="9">
        <v>497984</v>
      </c>
      <c r="G5" s="9">
        <v>2345453</v>
      </c>
      <c r="H5" s="9"/>
      <c r="I5" s="9"/>
      <c r="J5" s="9">
        <v>1892212</v>
      </c>
      <c r="K5" s="9">
        <v>377107</v>
      </c>
      <c r="L5" s="9">
        <v>7446449</v>
      </c>
      <c r="M5" s="9">
        <v>2767478</v>
      </c>
      <c r="N5" s="9">
        <v>9281</v>
      </c>
      <c r="O5" s="9">
        <v>295504</v>
      </c>
      <c r="P5" s="9">
        <v>306583</v>
      </c>
      <c r="Q5" s="9"/>
      <c r="R5" s="9">
        <v>9270219</v>
      </c>
      <c r="S5" s="9">
        <v>25515343</v>
      </c>
      <c r="T5" s="9">
        <v>10428854</v>
      </c>
      <c r="U5" s="9">
        <v>18247</v>
      </c>
      <c r="V5" s="9">
        <v>2989129</v>
      </c>
      <c r="W5" s="9"/>
      <c r="X5" s="9">
        <v>1183890</v>
      </c>
      <c r="Y5" s="9">
        <v>7190492</v>
      </c>
      <c r="Z5" s="9">
        <v>308853</v>
      </c>
      <c r="AA5" s="9"/>
      <c r="AB5" s="9">
        <v>5213131</v>
      </c>
      <c r="AC5" s="9">
        <v>13646579</v>
      </c>
      <c r="AD5" s="9">
        <v>1312009</v>
      </c>
      <c r="AE5" s="9">
        <f>SUM(B5:AD5)</f>
        <v>98402055</v>
      </c>
    </row>
    <row r="6" spans="1:31" x14ac:dyDescent="0.25">
      <c r="A6" s="9" t="s">
        <v>239</v>
      </c>
      <c r="B6" s="9"/>
      <c r="C6" s="9"/>
      <c r="D6" s="9"/>
      <c r="E6" s="9">
        <v>2098734</v>
      </c>
      <c r="F6" s="9">
        <v>105103</v>
      </c>
      <c r="G6" s="9">
        <v>1265673</v>
      </c>
      <c r="H6" s="9"/>
      <c r="I6" s="9"/>
      <c r="J6" s="9">
        <v>528309</v>
      </c>
      <c r="K6" s="9">
        <v>94100</v>
      </c>
      <c r="L6" s="9">
        <v>1405657</v>
      </c>
      <c r="M6" s="9">
        <v>462765</v>
      </c>
      <c r="N6" s="9">
        <v>22091</v>
      </c>
      <c r="O6" s="9">
        <v>66692</v>
      </c>
      <c r="P6" s="9">
        <v>56096</v>
      </c>
      <c r="Q6" s="9"/>
      <c r="R6" s="9">
        <v>7643770</v>
      </c>
      <c r="S6" s="9">
        <v>20072141</v>
      </c>
      <c r="T6" s="9">
        <v>5963754</v>
      </c>
      <c r="U6" s="9">
        <v>3699</v>
      </c>
      <c r="V6" s="9">
        <v>499120</v>
      </c>
      <c r="W6" s="9"/>
      <c r="X6" s="9">
        <v>317023</v>
      </c>
      <c r="Y6" s="9">
        <v>1957110</v>
      </c>
      <c r="Z6" s="9">
        <v>232086</v>
      </c>
      <c r="AA6" s="9"/>
      <c r="AB6" s="9">
        <v>1109495</v>
      </c>
      <c r="AC6" s="9">
        <v>8932358</v>
      </c>
      <c r="AD6" s="9">
        <v>659102</v>
      </c>
      <c r="AE6" s="9">
        <f>SUM(B6:AD6)</f>
        <v>53494878</v>
      </c>
    </row>
    <row r="7" spans="1:31" x14ac:dyDescent="0.25">
      <c r="A7" s="9" t="s">
        <v>240</v>
      </c>
      <c r="B7" s="9"/>
      <c r="C7" s="9"/>
      <c r="D7" s="9"/>
      <c r="E7" s="9">
        <v>1763868</v>
      </c>
      <c r="F7" s="9">
        <v>95913</v>
      </c>
      <c r="G7" s="9">
        <v>492282</v>
      </c>
      <c r="H7" s="9"/>
      <c r="I7" s="9"/>
      <c r="J7" s="9">
        <v>457231</v>
      </c>
      <c r="K7" s="9">
        <v>64676</v>
      </c>
      <c r="L7" s="9">
        <v>1237079</v>
      </c>
      <c r="M7" s="9">
        <v>403317</v>
      </c>
      <c r="N7" s="9">
        <v>14261</v>
      </c>
      <c r="O7" s="9">
        <v>34823</v>
      </c>
      <c r="P7" s="9">
        <v>70530</v>
      </c>
      <c r="Q7" s="9"/>
      <c r="R7" s="9">
        <v>7637648</v>
      </c>
      <c r="S7" s="9">
        <v>19186871</v>
      </c>
      <c r="T7" s="9">
        <v>6103896</v>
      </c>
      <c r="U7" s="9">
        <v>3254</v>
      </c>
      <c r="V7" s="9">
        <v>632678</v>
      </c>
      <c r="W7" s="9"/>
      <c r="X7" s="9">
        <v>242902</v>
      </c>
      <c r="Y7" s="9">
        <v>1719228</v>
      </c>
      <c r="Z7" s="9">
        <v>120229</v>
      </c>
      <c r="AA7" s="9"/>
      <c r="AB7" s="9">
        <v>337441</v>
      </c>
      <c r="AC7" s="9">
        <v>8496331</v>
      </c>
      <c r="AD7" s="9">
        <v>585521</v>
      </c>
      <c r="AE7" s="9">
        <f>SUM(B7:AD7)</f>
        <v>49699979</v>
      </c>
    </row>
    <row r="9" spans="1:31" x14ac:dyDescent="0.25">
      <c r="A9" s="25" t="s">
        <v>227</v>
      </c>
    </row>
    <row r="10" spans="1:31" x14ac:dyDescent="0.25">
      <c r="A10" s="1" t="s">
        <v>0</v>
      </c>
      <c r="B10" s="65" t="s">
        <v>1</v>
      </c>
      <c r="C10" s="65" t="s">
        <v>2</v>
      </c>
      <c r="D10" s="65" t="s">
        <v>3</v>
      </c>
      <c r="E10" s="65" t="s">
        <v>4</v>
      </c>
      <c r="F10" s="65" t="s">
        <v>5</v>
      </c>
      <c r="G10" s="65" t="s">
        <v>6</v>
      </c>
      <c r="H10" s="65" t="s">
        <v>7</v>
      </c>
      <c r="I10" s="65" t="s">
        <v>8</v>
      </c>
      <c r="J10" s="65" t="s">
        <v>9</v>
      </c>
      <c r="K10" s="65" t="s">
        <v>10</v>
      </c>
      <c r="L10" s="65" t="s">
        <v>11</v>
      </c>
      <c r="M10" s="65" t="s">
        <v>12</v>
      </c>
      <c r="N10" s="65" t="s">
        <v>13</v>
      </c>
      <c r="O10" s="65" t="s">
        <v>14</v>
      </c>
      <c r="P10" s="65" t="s">
        <v>15</v>
      </c>
      <c r="Q10" s="65" t="s">
        <v>16</v>
      </c>
      <c r="R10" s="65" t="s">
        <v>17</v>
      </c>
      <c r="S10" s="65" t="s">
        <v>18</v>
      </c>
      <c r="T10" s="65" t="s">
        <v>19</v>
      </c>
      <c r="U10" s="65" t="s">
        <v>20</v>
      </c>
      <c r="V10" s="65" t="s">
        <v>21</v>
      </c>
      <c r="W10" s="65" t="s">
        <v>22</v>
      </c>
      <c r="X10" s="65" t="s">
        <v>23</v>
      </c>
      <c r="Y10" s="65" t="s">
        <v>24</v>
      </c>
      <c r="Z10" s="65" t="s">
        <v>25</v>
      </c>
      <c r="AA10" s="65" t="s">
        <v>26</v>
      </c>
      <c r="AB10" s="65" t="s">
        <v>27</v>
      </c>
      <c r="AC10" s="64" t="s">
        <v>28</v>
      </c>
      <c r="AD10" s="65" t="s">
        <v>29</v>
      </c>
      <c r="AE10" s="40" t="s">
        <v>30</v>
      </c>
    </row>
    <row r="11" spans="1:31" x14ac:dyDescent="0.25">
      <c r="A11" s="9" t="s">
        <v>281</v>
      </c>
      <c r="B11" s="9"/>
      <c r="C11" s="9"/>
      <c r="D11" s="9"/>
      <c r="E11" s="9">
        <v>1347276</v>
      </c>
      <c r="F11" s="9">
        <v>244200</v>
      </c>
      <c r="G11" s="9">
        <v>683713</v>
      </c>
      <c r="H11" s="9"/>
      <c r="I11" s="9"/>
      <c r="J11" s="9">
        <v>565934</v>
      </c>
      <c r="K11" s="9">
        <v>102900</v>
      </c>
      <c r="L11" s="9">
        <v>3410537</v>
      </c>
      <c r="M11" s="9">
        <v>1288219</v>
      </c>
      <c r="N11" s="9"/>
      <c r="O11" s="9">
        <v>129732</v>
      </c>
      <c r="P11" s="9">
        <v>152251</v>
      </c>
      <c r="Q11" s="9"/>
      <c r="R11" s="9">
        <v>2406749</v>
      </c>
      <c r="S11" s="9">
        <v>6640803</v>
      </c>
      <c r="T11" s="9">
        <v>3939735</v>
      </c>
      <c r="U11" s="9">
        <v>300</v>
      </c>
      <c r="V11" s="9">
        <v>499925</v>
      </c>
      <c r="W11" s="9"/>
      <c r="X11" s="9">
        <v>344541</v>
      </c>
      <c r="Y11" s="9">
        <v>182974</v>
      </c>
      <c r="Z11" s="9">
        <v>16182</v>
      </c>
      <c r="AA11" s="9"/>
      <c r="AB11" s="9">
        <v>2626314</v>
      </c>
      <c r="AC11" s="9">
        <v>3978137</v>
      </c>
      <c r="AD11" s="9">
        <f>165921+52793</f>
        <v>218714</v>
      </c>
      <c r="AE11" s="9">
        <f>SUM(B11:AD11)</f>
        <v>28779136</v>
      </c>
    </row>
    <row r="12" spans="1:31" x14ac:dyDescent="0.25">
      <c r="A12" s="9" t="s">
        <v>239</v>
      </c>
      <c r="B12" s="9"/>
      <c r="C12" s="9"/>
      <c r="D12" s="9"/>
      <c r="E12" s="9">
        <v>868379</v>
      </c>
      <c r="F12" s="9">
        <v>149571</v>
      </c>
      <c r="G12" s="9">
        <v>116453</v>
      </c>
      <c r="H12" s="9"/>
      <c r="I12" s="9"/>
      <c r="J12" s="9">
        <v>442999</v>
      </c>
      <c r="K12" s="9">
        <v>63312</v>
      </c>
      <c r="L12" s="9">
        <v>1855403</v>
      </c>
      <c r="M12" s="9">
        <v>569772</v>
      </c>
      <c r="N12" s="9"/>
      <c r="O12" s="9">
        <v>78143</v>
      </c>
      <c r="P12" s="9">
        <v>13203</v>
      </c>
      <c r="Q12" s="9"/>
      <c r="R12" s="9">
        <v>1821651</v>
      </c>
      <c r="S12" s="9">
        <v>3652462</v>
      </c>
      <c r="T12" s="9">
        <v>2378376</v>
      </c>
      <c r="U12" s="9">
        <v>133</v>
      </c>
      <c r="V12" s="9">
        <v>135131</v>
      </c>
      <c r="W12" s="9"/>
      <c r="X12" s="9">
        <v>155274</v>
      </c>
      <c r="Y12" s="9">
        <v>128808</v>
      </c>
      <c r="Z12" s="9">
        <v>9418</v>
      </c>
      <c r="AA12" s="9"/>
      <c r="AB12" s="9">
        <v>2314535</v>
      </c>
      <c r="AC12" s="9">
        <v>2401387</v>
      </c>
      <c r="AD12" s="9">
        <f>47739+781</f>
        <v>48520</v>
      </c>
      <c r="AE12" s="9">
        <f>SUM(B12:AD12)</f>
        <v>17202930</v>
      </c>
    </row>
    <row r="13" spans="1:31" x14ac:dyDescent="0.25">
      <c r="A13" s="9" t="s">
        <v>240</v>
      </c>
      <c r="B13" s="9"/>
      <c r="C13" s="9"/>
      <c r="D13" s="9"/>
      <c r="E13" s="9">
        <v>839749</v>
      </c>
      <c r="F13" s="9">
        <v>185229</v>
      </c>
      <c r="G13" s="9">
        <v>112239</v>
      </c>
      <c r="H13" s="9"/>
      <c r="I13" s="9"/>
      <c r="J13" s="9">
        <v>469969</v>
      </c>
      <c r="K13" s="9">
        <v>102197</v>
      </c>
      <c r="L13" s="9">
        <v>1920765</v>
      </c>
      <c r="M13" s="9">
        <v>534270</v>
      </c>
      <c r="N13" s="9"/>
      <c r="O13" s="9">
        <v>63029</v>
      </c>
      <c r="P13" s="9">
        <v>14972</v>
      </c>
      <c r="Q13" s="9"/>
      <c r="R13" s="9">
        <v>1728068</v>
      </c>
      <c r="S13" s="9">
        <v>4620266</v>
      </c>
      <c r="T13" s="9">
        <v>2470270</v>
      </c>
      <c r="U13" s="9">
        <v>70</v>
      </c>
      <c r="V13" s="9">
        <v>177197</v>
      </c>
      <c r="W13" s="9"/>
      <c r="X13" s="9">
        <v>147585</v>
      </c>
      <c r="Y13" s="9">
        <v>140812</v>
      </c>
      <c r="Z13" s="9">
        <v>7647</v>
      </c>
      <c r="AA13" s="9"/>
      <c r="AB13" s="9">
        <v>2319275</v>
      </c>
      <c r="AC13" s="9">
        <v>2686722</v>
      </c>
      <c r="AD13" s="9">
        <f>66129+93</f>
        <v>66222</v>
      </c>
      <c r="AE13" s="9">
        <f>SUM(B13:AD13)</f>
        <v>18606553</v>
      </c>
    </row>
    <row r="15" spans="1:31" x14ac:dyDescent="0.25">
      <c r="A15" s="25" t="s">
        <v>228</v>
      </c>
    </row>
    <row r="16" spans="1:31" x14ac:dyDescent="0.25">
      <c r="A16" s="1" t="s">
        <v>0</v>
      </c>
      <c r="B16" s="65" t="s">
        <v>1</v>
      </c>
      <c r="C16" s="65" t="s">
        <v>2</v>
      </c>
      <c r="D16" s="65" t="s">
        <v>3</v>
      </c>
      <c r="E16" s="65" t="s">
        <v>4</v>
      </c>
      <c r="F16" s="65" t="s">
        <v>5</v>
      </c>
      <c r="G16" s="65" t="s">
        <v>6</v>
      </c>
      <c r="H16" s="65" t="s">
        <v>7</v>
      </c>
      <c r="I16" s="65" t="s">
        <v>8</v>
      </c>
      <c r="J16" s="65" t="s">
        <v>9</v>
      </c>
      <c r="K16" s="65" t="s">
        <v>10</v>
      </c>
      <c r="L16" s="65" t="s">
        <v>11</v>
      </c>
      <c r="M16" s="65" t="s">
        <v>12</v>
      </c>
      <c r="N16" s="65" t="s">
        <v>13</v>
      </c>
      <c r="O16" s="65" t="s">
        <v>14</v>
      </c>
      <c r="P16" s="65" t="s">
        <v>15</v>
      </c>
      <c r="Q16" s="65" t="s">
        <v>16</v>
      </c>
      <c r="R16" s="65" t="s">
        <v>17</v>
      </c>
      <c r="S16" s="65" t="s">
        <v>18</v>
      </c>
      <c r="T16" s="65" t="s">
        <v>19</v>
      </c>
      <c r="U16" s="65" t="s">
        <v>20</v>
      </c>
      <c r="V16" s="65" t="s">
        <v>21</v>
      </c>
      <c r="W16" s="65" t="s">
        <v>22</v>
      </c>
      <c r="X16" s="65" t="s">
        <v>23</v>
      </c>
      <c r="Y16" s="65" t="s">
        <v>24</v>
      </c>
      <c r="Z16" s="65" t="s">
        <v>25</v>
      </c>
      <c r="AA16" s="65" t="s">
        <v>26</v>
      </c>
      <c r="AB16" s="65" t="s">
        <v>27</v>
      </c>
      <c r="AC16" s="64" t="s">
        <v>28</v>
      </c>
      <c r="AD16" s="65" t="s">
        <v>29</v>
      </c>
      <c r="AE16" s="40" t="s">
        <v>30</v>
      </c>
    </row>
    <row r="17" spans="1:31" x14ac:dyDescent="0.25">
      <c r="A17" s="9" t="s">
        <v>281</v>
      </c>
      <c r="B17" s="9"/>
      <c r="C17" s="9"/>
      <c r="D17" s="9"/>
      <c r="E17" s="9">
        <v>35674357</v>
      </c>
      <c r="F17" s="9">
        <v>11046985</v>
      </c>
      <c r="G17" s="9">
        <v>21654794</v>
      </c>
      <c r="H17" s="9"/>
      <c r="I17" s="9"/>
      <c r="J17" s="9">
        <f>3583563+5446401</f>
        <v>9029964</v>
      </c>
      <c r="K17" s="9">
        <f>904191+1312105</f>
        <v>2216296</v>
      </c>
      <c r="L17" s="9">
        <v>45418056</v>
      </c>
      <c r="M17" s="9">
        <v>29733084</v>
      </c>
      <c r="N17" s="9">
        <v>689252</v>
      </c>
      <c r="O17" s="9">
        <f>1336250+2754565</f>
        <v>4090815</v>
      </c>
      <c r="P17" s="9">
        <v>3403132</v>
      </c>
      <c r="Q17" s="9"/>
      <c r="R17" s="9">
        <v>63351020</v>
      </c>
      <c r="S17" s="9">
        <v>88640881</v>
      </c>
      <c r="T17" s="9">
        <v>39293234</v>
      </c>
      <c r="U17" s="9">
        <f>546+288689</f>
        <v>289235</v>
      </c>
      <c r="V17" s="9">
        <v>19626514</v>
      </c>
      <c r="W17" s="9"/>
      <c r="X17" s="9">
        <v>17042309</v>
      </c>
      <c r="Y17" s="9">
        <v>6807880</v>
      </c>
      <c r="Z17" s="9">
        <v>18355598</v>
      </c>
      <c r="AA17" s="9"/>
      <c r="AB17" s="9">
        <v>20200142</v>
      </c>
      <c r="AC17" s="9">
        <v>60626036</v>
      </c>
      <c r="AD17" s="9">
        <f>2286764+1639605</f>
        <v>3926369</v>
      </c>
      <c r="AE17" s="9">
        <f>SUM(B17:AD17)</f>
        <v>501115953</v>
      </c>
    </row>
    <row r="18" spans="1:31" x14ac:dyDescent="0.25">
      <c r="A18" s="9" t="s">
        <v>239</v>
      </c>
      <c r="B18" s="9"/>
      <c r="C18" s="9"/>
      <c r="D18" s="9"/>
      <c r="E18" s="9">
        <v>33728026</v>
      </c>
      <c r="F18" s="9">
        <v>10396789</v>
      </c>
      <c r="G18" s="9">
        <v>20480927</v>
      </c>
      <c r="H18" s="9"/>
      <c r="I18" s="9"/>
      <c r="J18" s="9">
        <f>3385837+3521355-40860</f>
        <v>6866332</v>
      </c>
      <c r="K18" s="9">
        <f>671641+951211+8945</f>
        <v>1631797</v>
      </c>
      <c r="L18" s="9">
        <v>37658714</v>
      </c>
      <c r="M18" s="9">
        <v>22297943</v>
      </c>
      <c r="N18" s="9">
        <v>641762</v>
      </c>
      <c r="O18" s="9">
        <f>1242382+2584252</f>
        <v>3826634</v>
      </c>
      <c r="P18" s="9">
        <v>3132589</v>
      </c>
      <c r="Q18" s="9"/>
      <c r="R18" s="9">
        <v>44433532</v>
      </c>
      <c r="S18" s="9">
        <v>83884443</v>
      </c>
      <c r="T18" s="9">
        <v>37379068</v>
      </c>
      <c r="U18" s="9">
        <f>445+235142</f>
        <v>235587</v>
      </c>
      <c r="V18" s="9">
        <v>14197537</v>
      </c>
      <c r="W18" s="9"/>
      <c r="X18" s="9">
        <v>16108943</v>
      </c>
      <c r="Y18" s="9">
        <v>6316722</v>
      </c>
      <c r="Z18" s="9">
        <v>17367006</v>
      </c>
      <c r="AA18" s="9"/>
      <c r="AB18" s="9">
        <v>19109198</v>
      </c>
      <c r="AC18" s="9">
        <v>57644197</v>
      </c>
      <c r="AD18" s="9">
        <f>2149884+1520464</f>
        <v>3670348</v>
      </c>
      <c r="AE18" s="9">
        <f>SUM(B18:AD18)</f>
        <v>441008094</v>
      </c>
    </row>
    <row r="19" spans="1:31" x14ac:dyDescent="0.25">
      <c r="A19" s="9" t="s">
        <v>240</v>
      </c>
      <c r="B19" s="9"/>
      <c r="C19" s="9"/>
      <c r="D19" s="9"/>
      <c r="E19" s="9">
        <v>31793056</v>
      </c>
      <c r="F19" s="9">
        <v>10039034</v>
      </c>
      <c r="G19" s="9">
        <v>18373695</v>
      </c>
      <c r="H19" s="9"/>
      <c r="I19" s="9"/>
      <c r="J19" s="9">
        <f>3094936+3964411-40860</f>
        <v>7018487</v>
      </c>
      <c r="K19" s="9">
        <f>963538+1637228+8945</f>
        <v>2609711</v>
      </c>
      <c r="L19" s="9">
        <v>35397990</v>
      </c>
      <c r="M19" s="9">
        <v>23005626</v>
      </c>
      <c r="N19" s="9">
        <v>276689</v>
      </c>
      <c r="O19" s="9">
        <f>1018620+2166609</f>
        <v>3185229</v>
      </c>
      <c r="P19" s="9">
        <v>3101049</v>
      </c>
      <c r="Q19" s="9"/>
      <c r="R19" s="9">
        <v>50667544</v>
      </c>
      <c r="S19" s="9">
        <v>73900739</v>
      </c>
      <c r="T19" s="9">
        <v>34503816</v>
      </c>
      <c r="U19" s="9">
        <f>287+129562</f>
        <v>129849</v>
      </c>
      <c r="V19" s="9">
        <v>14504776</v>
      </c>
      <c r="W19" s="9"/>
      <c r="X19" s="9">
        <v>14361788</v>
      </c>
      <c r="Y19" s="9">
        <v>6754180</v>
      </c>
      <c r="Z19" s="9">
        <v>16397271</v>
      </c>
      <c r="AA19" s="9"/>
      <c r="AB19" s="9">
        <v>15295030</v>
      </c>
      <c r="AC19" s="9">
        <v>51068049</v>
      </c>
      <c r="AD19" s="9">
        <f>2217868+1360922</f>
        <v>3578790</v>
      </c>
      <c r="AE19" s="9">
        <f>SUM(B19:AD19)</f>
        <v>415962398</v>
      </c>
    </row>
    <row r="21" spans="1:31" x14ac:dyDescent="0.25">
      <c r="A21" s="25" t="s">
        <v>229</v>
      </c>
    </row>
    <row r="22" spans="1:31" x14ac:dyDescent="0.25">
      <c r="A22" s="1" t="s">
        <v>0</v>
      </c>
      <c r="B22" s="65" t="s">
        <v>1</v>
      </c>
      <c r="C22" s="65" t="s">
        <v>2</v>
      </c>
      <c r="D22" s="65" t="s">
        <v>3</v>
      </c>
      <c r="E22" s="65" t="s">
        <v>4</v>
      </c>
      <c r="F22" s="65" t="s">
        <v>5</v>
      </c>
      <c r="G22" s="65" t="s">
        <v>6</v>
      </c>
      <c r="H22" s="65" t="s">
        <v>7</v>
      </c>
      <c r="I22" s="65" t="s">
        <v>8</v>
      </c>
      <c r="J22" s="65" t="s">
        <v>9</v>
      </c>
      <c r="K22" s="65" t="s">
        <v>10</v>
      </c>
      <c r="L22" s="65" t="s">
        <v>11</v>
      </c>
      <c r="M22" s="65" t="s">
        <v>12</v>
      </c>
      <c r="N22" s="65" t="s">
        <v>13</v>
      </c>
      <c r="O22" s="65" t="s">
        <v>14</v>
      </c>
      <c r="P22" s="65" t="s">
        <v>15</v>
      </c>
      <c r="Q22" s="65" t="s">
        <v>16</v>
      </c>
      <c r="R22" s="65" t="s">
        <v>17</v>
      </c>
      <c r="S22" s="65" t="s">
        <v>18</v>
      </c>
      <c r="T22" s="65" t="s">
        <v>19</v>
      </c>
      <c r="U22" s="65" t="s">
        <v>20</v>
      </c>
      <c r="V22" s="65" t="s">
        <v>21</v>
      </c>
      <c r="W22" s="65" t="s">
        <v>22</v>
      </c>
      <c r="X22" s="65" t="s">
        <v>23</v>
      </c>
      <c r="Y22" s="65" t="s">
        <v>24</v>
      </c>
      <c r="Z22" s="65" t="s">
        <v>25</v>
      </c>
      <c r="AA22" s="65" t="s">
        <v>26</v>
      </c>
      <c r="AB22" s="65" t="s">
        <v>27</v>
      </c>
      <c r="AC22" s="64" t="s">
        <v>28</v>
      </c>
      <c r="AD22" s="65" t="s">
        <v>29</v>
      </c>
      <c r="AE22" s="40" t="s">
        <v>30</v>
      </c>
    </row>
    <row r="23" spans="1:31" x14ac:dyDescent="0.25">
      <c r="A23" s="9" t="s">
        <v>281</v>
      </c>
      <c r="B23" s="9"/>
      <c r="C23" s="9"/>
      <c r="D23" s="9"/>
      <c r="E23" s="9">
        <v>977122</v>
      </c>
      <c r="F23" s="9">
        <v>144773</v>
      </c>
      <c r="G23" s="9">
        <v>242835</v>
      </c>
      <c r="H23" s="9"/>
      <c r="I23" s="9"/>
      <c r="J23" s="9">
        <v>358079</v>
      </c>
      <c r="K23" s="9">
        <v>134107</v>
      </c>
      <c r="L23" s="9">
        <v>2248110</v>
      </c>
      <c r="M23" s="9">
        <v>711260</v>
      </c>
      <c r="N23" s="9"/>
      <c r="O23" s="9">
        <v>127006</v>
      </c>
      <c r="P23" s="9">
        <v>61349</v>
      </c>
      <c r="Q23" s="9"/>
      <c r="R23" s="9">
        <v>2373357</v>
      </c>
      <c r="S23" s="9">
        <v>5796590</v>
      </c>
      <c r="T23" s="9">
        <v>2911278</v>
      </c>
      <c r="U23" s="9">
        <v>3186</v>
      </c>
      <c r="V23" s="9">
        <v>540526</v>
      </c>
      <c r="W23" s="9"/>
      <c r="X23" s="9">
        <v>432592</v>
      </c>
      <c r="Y23" s="9">
        <v>205058</v>
      </c>
      <c r="Z23" s="9">
        <v>132782</v>
      </c>
      <c r="AA23" s="9"/>
      <c r="AB23" s="9">
        <v>891613</v>
      </c>
      <c r="AC23" s="9">
        <v>4473684</v>
      </c>
      <c r="AD23" s="9">
        <v>90025</v>
      </c>
      <c r="AE23" s="9">
        <f>SUM(B23:AD23)</f>
        <v>22855332</v>
      </c>
    </row>
    <row r="24" spans="1:31" x14ac:dyDescent="0.25">
      <c r="A24" s="9" t="s">
        <v>239</v>
      </c>
      <c r="B24" s="9"/>
      <c r="C24" s="9"/>
      <c r="D24" s="9"/>
      <c r="E24" s="9">
        <v>190864</v>
      </c>
      <c r="F24" s="9">
        <v>34831</v>
      </c>
      <c r="G24" s="9">
        <v>92905</v>
      </c>
      <c r="H24" s="9"/>
      <c r="I24" s="9"/>
      <c r="J24" s="9">
        <v>106965</v>
      </c>
      <c r="K24" s="9">
        <v>25479</v>
      </c>
      <c r="L24" s="9">
        <v>681443</v>
      </c>
      <c r="M24" s="9">
        <v>148131</v>
      </c>
      <c r="N24" s="9">
        <v>3853</v>
      </c>
      <c r="O24" s="9">
        <v>18326</v>
      </c>
      <c r="P24" s="9">
        <v>19176</v>
      </c>
      <c r="Q24" s="9"/>
      <c r="R24" s="9">
        <v>2136726</v>
      </c>
      <c r="S24" s="9">
        <v>3615699</v>
      </c>
      <c r="T24" s="9">
        <v>2062114</v>
      </c>
      <c r="U24" s="9">
        <v>1068</v>
      </c>
      <c r="V24" s="9">
        <v>201928</v>
      </c>
      <c r="W24" s="9"/>
      <c r="X24" s="9">
        <v>67173</v>
      </c>
      <c r="Y24" s="9">
        <v>69465</v>
      </c>
      <c r="Z24" s="9">
        <v>66675</v>
      </c>
      <c r="AA24" s="9"/>
      <c r="AB24" s="9">
        <v>71301</v>
      </c>
      <c r="AC24" s="9">
        <v>2657021</v>
      </c>
      <c r="AD24" s="9">
        <v>39368</v>
      </c>
      <c r="AE24" s="9">
        <f>SUM(B24:AD24)</f>
        <v>12310511</v>
      </c>
    </row>
    <row r="25" spans="1:31" x14ac:dyDescent="0.25">
      <c r="A25" s="9" t="s">
        <v>240</v>
      </c>
      <c r="B25" s="9"/>
      <c r="C25" s="9"/>
      <c r="D25" s="9"/>
      <c r="E25" s="9">
        <v>194269</v>
      </c>
      <c r="F25" s="9">
        <v>42942</v>
      </c>
      <c r="G25" s="9">
        <v>106696</v>
      </c>
      <c r="H25" s="9"/>
      <c r="I25" s="9"/>
      <c r="J25" s="9">
        <v>127009</v>
      </c>
      <c r="K25" s="9">
        <v>44276</v>
      </c>
      <c r="L25" s="9">
        <v>657683</v>
      </c>
      <c r="M25" s="9">
        <v>170743</v>
      </c>
      <c r="N25" s="9">
        <v>2459</v>
      </c>
      <c r="O25" s="9">
        <v>14228</v>
      </c>
      <c r="P25" s="9">
        <v>33636</v>
      </c>
      <c r="Q25" s="9"/>
      <c r="R25" s="9">
        <v>2060832</v>
      </c>
      <c r="S25" s="9">
        <v>3553055</v>
      </c>
      <c r="T25" s="9">
        <v>2320951</v>
      </c>
      <c r="U25" s="9">
        <v>1172</v>
      </c>
      <c r="V25" s="9">
        <v>187244</v>
      </c>
      <c r="W25" s="9"/>
      <c r="X25" s="9">
        <v>64656</v>
      </c>
      <c r="Y25" s="9">
        <v>64350</v>
      </c>
      <c r="Z25" s="9">
        <v>64037</v>
      </c>
      <c r="AA25" s="9"/>
      <c r="AB25" s="9">
        <v>62979</v>
      </c>
      <c r="AC25" s="9">
        <v>2802357</v>
      </c>
      <c r="AD25" s="9">
        <v>48829</v>
      </c>
      <c r="AE25" s="9">
        <f>SUM(B25:AD25)</f>
        <v>12624403</v>
      </c>
    </row>
    <row r="27" spans="1:31" x14ac:dyDescent="0.25">
      <c r="A27" s="25" t="s">
        <v>230</v>
      </c>
    </row>
    <row r="28" spans="1:31" x14ac:dyDescent="0.25">
      <c r="A28" s="1" t="s">
        <v>0</v>
      </c>
      <c r="B28" s="65" t="s">
        <v>1</v>
      </c>
      <c r="C28" s="65" t="s">
        <v>2</v>
      </c>
      <c r="D28" s="65" t="s">
        <v>3</v>
      </c>
      <c r="E28" s="65" t="s">
        <v>4</v>
      </c>
      <c r="F28" s="65" t="s">
        <v>5</v>
      </c>
      <c r="G28" s="65" t="s">
        <v>6</v>
      </c>
      <c r="H28" s="65" t="s">
        <v>7</v>
      </c>
      <c r="I28" s="65" t="s">
        <v>8</v>
      </c>
      <c r="J28" s="65" t="s">
        <v>9</v>
      </c>
      <c r="K28" s="65" t="s">
        <v>10</v>
      </c>
      <c r="L28" s="65" t="s">
        <v>11</v>
      </c>
      <c r="M28" s="65" t="s">
        <v>12</v>
      </c>
      <c r="N28" s="65" t="s">
        <v>13</v>
      </c>
      <c r="O28" s="65" t="s">
        <v>14</v>
      </c>
      <c r="P28" s="65" t="s">
        <v>15</v>
      </c>
      <c r="Q28" s="65" t="s">
        <v>16</v>
      </c>
      <c r="R28" s="65" t="s">
        <v>17</v>
      </c>
      <c r="S28" s="65" t="s">
        <v>18</v>
      </c>
      <c r="T28" s="65" t="s">
        <v>19</v>
      </c>
      <c r="U28" s="65" t="s">
        <v>20</v>
      </c>
      <c r="V28" s="65" t="s">
        <v>21</v>
      </c>
      <c r="W28" s="65" t="s">
        <v>22</v>
      </c>
      <c r="X28" s="65" t="s">
        <v>23</v>
      </c>
      <c r="Y28" s="65" t="s">
        <v>24</v>
      </c>
      <c r="Z28" s="65" t="s">
        <v>25</v>
      </c>
      <c r="AA28" s="65" t="s">
        <v>26</v>
      </c>
      <c r="AB28" s="65" t="s">
        <v>27</v>
      </c>
      <c r="AC28" s="64" t="s">
        <v>28</v>
      </c>
      <c r="AD28" s="65" t="s">
        <v>29</v>
      </c>
      <c r="AE28" s="40" t="s">
        <v>30</v>
      </c>
    </row>
    <row r="29" spans="1:31" x14ac:dyDescent="0.25">
      <c r="A29" s="9" t="s">
        <v>281</v>
      </c>
      <c r="B29" s="9">
        <v>530806</v>
      </c>
      <c r="C29" s="9"/>
      <c r="D29" s="9">
        <v>11892703</v>
      </c>
      <c r="E29" s="9">
        <v>10857302</v>
      </c>
      <c r="F29" s="9">
        <v>671749</v>
      </c>
      <c r="G29" s="9">
        <v>2010091</v>
      </c>
      <c r="H29" s="9">
        <v>2066380</v>
      </c>
      <c r="I29" s="9"/>
      <c r="J29" s="9">
        <v>2042906</v>
      </c>
      <c r="K29" s="9">
        <v>584404</v>
      </c>
      <c r="L29" s="9">
        <v>16675776</v>
      </c>
      <c r="M29" s="9">
        <v>5175800</v>
      </c>
      <c r="N29" s="9">
        <v>94492</v>
      </c>
      <c r="O29" s="9">
        <v>788085</v>
      </c>
      <c r="P29" s="9"/>
      <c r="Q29" s="9">
        <v>5909359</v>
      </c>
      <c r="R29" s="9">
        <v>47413625</v>
      </c>
      <c r="S29" s="9">
        <v>60849788</v>
      </c>
      <c r="T29" s="9">
        <v>33233925</v>
      </c>
      <c r="U29" s="9">
        <v>202</v>
      </c>
      <c r="V29" s="9">
        <v>3443301</v>
      </c>
      <c r="W29" s="9">
        <v>6369792</v>
      </c>
      <c r="X29" s="9">
        <v>2172460</v>
      </c>
      <c r="Y29" s="9">
        <v>3724339</v>
      </c>
      <c r="Z29" s="9"/>
      <c r="AA29" s="9"/>
      <c r="AB29" s="9">
        <v>3141915</v>
      </c>
      <c r="AC29" s="9">
        <v>52413800</v>
      </c>
      <c r="AD29" s="9">
        <v>908138</v>
      </c>
      <c r="AE29" s="9">
        <f>SUM(B29:AD29)</f>
        <v>272971138</v>
      </c>
    </row>
    <row r="30" spans="1:31" x14ac:dyDescent="0.25">
      <c r="A30" s="9" t="s">
        <v>239</v>
      </c>
      <c r="B30" s="9">
        <v>504266</v>
      </c>
      <c r="C30" s="9"/>
      <c r="D30" s="9">
        <v>9735469</v>
      </c>
      <c r="E30" s="9">
        <v>9849462</v>
      </c>
      <c r="F30" s="9">
        <v>637500</v>
      </c>
      <c r="G30" s="9">
        <v>1874194</v>
      </c>
      <c r="H30" s="9">
        <v>1943599</v>
      </c>
      <c r="I30" s="9"/>
      <c r="J30" s="9">
        <v>1459081</v>
      </c>
      <c r="K30" s="9">
        <v>382239</v>
      </c>
      <c r="L30" s="9">
        <v>12012367</v>
      </c>
      <c r="M30" s="9">
        <v>4794846</v>
      </c>
      <c r="N30" s="9">
        <v>89767</v>
      </c>
      <c r="O30" s="9">
        <v>736348</v>
      </c>
      <c r="P30" s="9"/>
      <c r="Q30" s="9">
        <v>5614460</v>
      </c>
      <c r="R30" s="9">
        <v>32582330</v>
      </c>
      <c r="S30" s="9">
        <v>55347302</v>
      </c>
      <c r="T30" s="9">
        <v>31573252</v>
      </c>
      <c r="U30" s="9">
        <v>192</v>
      </c>
      <c r="V30" s="9">
        <v>2960641</v>
      </c>
      <c r="W30" s="9">
        <v>4641984</v>
      </c>
      <c r="X30" s="9">
        <v>1833915</v>
      </c>
      <c r="Y30" s="9">
        <v>3538121</v>
      </c>
      <c r="Z30" s="9"/>
      <c r="AA30" s="9"/>
      <c r="AB30" s="9">
        <v>2645383</v>
      </c>
      <c r="AC30" s="9">
        <v>48009702</v>
      </c>
      <c r="AD30" s="9">
        <v>785735</v>
      </c>
      <c r="AE30" s="9">
        <f>SUM(B30:AD30)</f>
        <v>233552155</v>
      </c>
    </row>
    <row r="31" spans="1:31" x14ac:dyDescent="0.25">
      <c r="A31" s="9" t="s">
        <v>240</v>
      </c>
      <c r="B31" s="9">
        <v>134005</v>
      </c>
      <c r="C31" s="9"/>
      <c r="D31" s="9">
        <v>10118220</v>
      </c>
      <c r="E31" s="9">
        <v>8900082</v>
      </c>
      <c r="F31" s="9">
        <v>681149</v>
      </c>
      <c r="G31" s="9">
        <v>1843834</v>
      </c>
      <c r="H31" s="9">
        <v>1687071</v>
      </c>
      <c r="I31" s="9"/>
      <c r="J31" s="9">
        <v>1257649</v>
      </c>
      <c r="K31" s="9">
        <v>484398</v>
      </c>
      <c r="L31" s="9">
        <v>11549126</v>
      </c>
      <c r="M31" s="9">
        <v>4675497</v>
      </c>
      <c r="N31" s="9">
        <v>36548</v>
      </c>
      <c r="O31" s="9">
        <v>600920</v>
      </c>
      <c r="P31" s="9">
        <v>4</v>
      </c>
      <c r="Q31" s="9">
        <v>5432531</v>
      </c>
      <c r="R31" s="9">
        <v>37544199</v>
      </c>
      <c r="S31" s="9">
        <v>58081863</v>
      </c>
      <c r="T31" s="9">
        <v>28213101</v>
      </c>
      <c r="U31" s="9">
        <v>180</v>
      </c>
      <c r="V31" s="9">
        <v>2999417</v>
      </c>
      <c r="W31" s="9">
        <v>4214242.2</v>
      </c>
      <c r="X31" s="9">
        <v>1853706</v>
      </c>
      <c r="Y31" s="9">
        <v>2567941</v>
      </c>
      <c r="Z31" s="9"/>
      <c r="AA31" s="9"/>
      <c r="AB31" s="9">
        <v>2286601</v>
      </c>
      <c r="AC31" s="9">
        <v>43588985</v>
      </c>
      <c r="AD31" s="9">
        <v>850084</v>
      </c>
      <c r="AE31" s="9">
        <f>SUM(B31:AD31)</f>
        <v>229601353.19999999</v>
      </c>
    </row>
    <row r="33" spans="1:31" x14ac:dyDescent="0.25">
      <c r="A33" s="25" t="s">
        <v>231</v>
      </c>
    </row>
    <row r="34" spans="1:31" x14ac:dyDescent="0.25">
      <c r="A34" s="1" t="s">
        <v>0</v>
      </c>
      <c r="B34" s="65" t="s">
        <v>1</v>
      </c>
      <c r="C34" s="65" t="s">
        <v>2</v>
      </c>
      <c r="D34" s="65" t="s">
        <v>3</v>
      </c>
      <c r="E34" s="65" t="s">
        <v>4</v>
      </c>
      <c r="F34" s="65" t="s">
        <v>5</v>
      </c>
      <c r="G34" s="65" t="s">
        <v>6</v>
      </c>
      <c r="H34" s="65" t="s">
        <v>7</v>
      </c>
      <c r="I34" s="65" t="s">
        <v>8</v>
      </c>
      <c r="J34" s="65" t="s">
        <v>9</v>
      </c>
      <c r="K34" s="65" t="s">
        <v>10</v>
      </c>
      <c r="L34" s="65" t="s">
        <v>11</v>
      </c>
      <c r="M34" s="65" t="s">
        <v>12</v>
      </c>
      <c r="N34" s="65" t="s">
        <v>13</v>
      </c>
      <c r="O34" s="65" t="s">
        <v>14</v>
      </c>
      <c r="P34" s="65" t="s">
        <v>15</v>
      </c>
      <c r="Q34" s="65" t="s">
        <v>16</v>
      </c>
      <c r="R34" s="65" t="s">
        <v>17</v>
      </c>
      <c r="S34" s="65" t="s">
        <v>18</v>
      </c>
      <c r="T34" s="65" t="s">
        <v>19</v>
      </c>
      <c r="U34" s="65" t="s">
        <v>20</v>
      </c>
      <c r="V34" s="65" t="s">
        <v>21</v>
      </c>
      <c r="W34" s="65" t="s">
        <v>22</v>
      </c>
      <c r="X34" s="65" t="s">
        <v>23</v>
      </c>
      <c r="Y34" s="65" t="s">
        <v>24</v>
      </c>
      <c r="Z34" s="65" t="s">
        <v>25</v>
      </c>
      <c r="AA34" s="65" t="s">
        <v>26</v>
      </c>
      <c r="AB34" s="65" t="s">
        <v>27</v>
      </c>
      <c r="AC34" s="64" t="s">
        <v>28</v>
      </c>
      <c r="AD34" s="65" t="s">
        <v>29</v>
      </c>
      <c r="AE34" s="40" t="s">
        <v>30</v>
      </c>
    </row>
    <row r="35" spans="1:31" x14ac:dyDescent="0.25">
      <c r="A35" s="9" t="s">
        <v>281</v>
      </c>
      <c r="B35" s="9">
        <v>9617</v>
      </c>
      <c r="C35" s="9"/>
      <c r="D35" s="9">
        <v>1001153</v>
      </c>
      <c r="E35" s="9">
        <v>1555989</v>
      </c>
      <c r="F35" s="9">
        <v>136702</v>
      </c>
      <c r="G35" s="9">
        <v>1274175</v>
      </c>
      <c r="H35" s="9">
        <v>151663</v>
      </c>
      <c r="I35" s="9"/>
      <c r="J35" s="9">
        <v>604783</v>
      </c>
      <c r="K35" s="9">
        <v>18577</v>
      </c>
      <c r="L35" s="9">
        <v>3578214</v>
      </c>
      <c r="M35" s="9">
        <v>523382</v>
      </c>
      <c r="N35" s="9">
        <v>27452</v>
      </c>
      <c r="O35" s="9">
        <v>169792</v>
      </c>
      <c r="P35" s="9">
        <v>29149</v>
      </c>
      <c r="Q35" s="9">
        <v>29979</v>
      </c>
      <c r="R35" s="9">
        <v>3146861</v>
      </c>
      <c r="S35" s="9">
        <v>3970316</v>
      </c>
      <c r="T35" s="9">
        <v>5268987</v>
      </c>
      <c r="U35" s="9">
        <v>3570</v>
      </c>
      <c r="V35" s="9">
        <v>365617</v>
      </c>
      <c r="W35" s="9">
        <v>544047.9</v>
      </c>
      <c r="X35" s="9">
        <v>472818</v>
      </c>
      <c r="Y35" s="9">
        <v>4200834</v>
      </c>
      <c r="Z35" s="9">
        <v>108776</v>
      </c>
      <c r="AA35" s="9"/>
      <c r="AB35" s="9">
        <v>1360033</v>
      </c>
      <c r="AC35" s="9">
        <v>2627683</v>
      </c>
      <c r="AD35" s="9">
        <v>207297</v>
      </c>
      <c r="AE35" s="9">
        <f>SUM(B35:AD35)</f>
        <v>31387466.899999999</v>
      </c>
    </row>
    <row r="36" spans="1:31" x14ac:dyDescent="0.25">
      <c r="A36" s="9" t="s">
        <v>239</v>
      </c>
      <c r="B36" s="9">
        <v>7931</v>
      </c>
      <c r="C36" s="9"/>
      <c r="D36" s="9">
        <v>839200</v>
      </c>
      <c r="E36" s="9">
        <v>1438751</v>
      </c>
      <c r="F36" s="9">
        <v>126877</v>
      </c>
      <c r="G36" s="9">
        <v>1167973</v>
      </c>
      <c r="H36" s="9">
        <v>137611</v>
      </c>
      <c r="I36" s="9"/>
      <c r="J36" s="9">
        <v>516380</v>
      </c>
      <c r="K36" s="9">
        <v>15950</v>
      </c>
      <c r="L36" s="9">
        <v>2708055</v>
      </c>
      <c r="M36" s="9">
        <v>457899</v>
      </c>
      <c r="N36" s="9">
        <v>9795</v>
      </c>
      <c r="O36" s="9">
        <v>153755</v>
      </c>
      <c r="P36" s="9">
        <v>14674</v>
      </c>
      <c r="Q36" s="9">
        <v>24700</v>
      </c>
      <c r="R36" s="9">
        <v>2649167</v>
      </c>
      <c r="S36" s="9">
        <v>3823205</v>
      </c>
      <c r="T36" s="9">
        <v>4264460</v>
      </c>
      <c r="U36" s="9">
        <v>879</v>
      </c>
      <c r="V36" s="9">
        <v>334135</v>
      </c>
      <c r="W36" s="9">
        <v>356159.7</v>
      </c>
      <c r="X36" s="9">
        <v>424324</v>
      </c>
      <c r="Y36" s="9">
        <v>3652808</v>
      </c>
      <c r="Z36" s="9">
        <v>22583</v>
      </c>
      <c r="AA36" s="9"/>
      <c r="AB36" s="9">
        <v>1183883</v>
      </c>
      <c r="AC36" s="9">
        <v>2172427</v>
      </c>
      <c r="AD36" s="9">
        <v>158682</v>
      </c>
      <c r="AE36" s="9">
        <f>SUM(B36:AD36)</f>
        <v>26662263.699999999</v>
      </c>
    </row>
    <row r="37" spans="1:31" x14ac:dyDescent="0.25">
      <c r="A37" s="9" t="s">
        <v>240</v>
      </c>
      <c r="B37" s="9">
        <v>826</v>
      </c>
      <c r="C37" s="9"/>
      <c r="D37" s="9">
        <v>783313</v>
      </c>
      <c r="E37" s="9">
        <v>1250195</v>
      </c>
      <c r="F37" s="9">
        <v>135148</v>
      </c>
      <c r="G37" s="9">
        <v>875708</v>
      </c>
      <c r="H37" s="9">
        <v>130616</v>
      </c>
      <c r="I37" s="9"/>
      <c r="J37" s="9">
        <v>485493</v>
      </c>
      <c r="K37" s="9">
        <v>23553</v>
      </c>
      <c r="L37" s="9">
        <v>1804247</v>
      </c>
      <c r="M37" s="9">
        <v>457117</v>
      </c>
      <c r="N37" s="9">
        <v>-1377</v>
      </c>
      <c r="O37" s="9">
        <v>133060</v>
      </c>
      <c r="P37" s="9">
        <v>16273</v>
      </c>
      <c r="Q37" s="9">
        <v>10280</v>
      </c>
      <c r="R37" s="9">
        <v>2666204</v>
      </c>
      <c r="S37" s="9">
        <v>3213994</v>
      </c>
      <c r="T37" s="9">
        <v>2883228</v>
      </c>
      <c r="U37" s="9">
        <v>715</v>
      </c>
      <c r="V37" s="9">
        <v>333685</v>
      </c>
      <c r="W37" s="9">
        <v>368773.1</v>
      </c>
      <c r="X37" s="9">
        <v>408520</v>
      </c>
      <c r="Y37" s="9">
        <v>2915435</v>
      </c>
      <c r="Z37" s="9">
        <v>22327</v>
      </c>
      <c r="AA37" s="9"/>
      <c r="AB37" s="9">
        <v>1152769</v>
      </c>
      <c r="AC37" s="9">
        <v>2170312</v>
      </c>
      <c r="AD37" s="9">
        <v>130601</v>
      </c>
      <c r="AE37" s="9">
        <f>SUM(B37:AD37)</f>
        <v>22371015.100000001</v>
      </c>
    </row>
    <row r="39" spans="1:31" x14ac:dyDescent="0.25">
      <c r="A39" s="25" t="s">
        <v>232</v>
      </c>
    </row>
    <row r="40" spans="1:31" x14ac:dyDescent="0.25">
      <c r="A40" s="1" t="s">
        <v>0</v>
      </c>
      <c r="B40" s="65" t="s">
        <v>1</v>
      </c>
      <c r="C40" s="65" t="s">
        <v>2</v>
      </c>
      <c r="D40" s="65" t="s">
        <v>3</v>
      </c>
      <c r="E40" s="65" t="s">
        <v>4</v>
      </c>
      <c r="F40" s="65" t="s">
        <v>5</v>
      </c>
      <c r="G40" s="65" t="s">
        <v>6</v>
      </c>
      <c r="H40" s="65" t="s">
        <v>7</v>
      </c>
      <c r="I40" s="65" t="s">
        <v>8</v>
      </c>
      <c r="J40" s="65" t="s">
        <v>9</v>
      </c>
      <c r="K40" s="65" t="s">
        <v>10</v>
      </c>
      <c r="L40" s="65" t="s">
        <v>11</v>
      </c>
      <c r="M40" s="65" t="s">
        <v>12</v>
      </c>
      <c r="N40" s="65" t="s">
        <v>13</v>
      </c>
      <c r="O40" s="65" t="s">
        <v>14</v>
      </c>
      <c r="P40" s="65" t="s">
        <v>15</v>
      </c>
      <c r="Q40" s="65" t="s">
        <v>16</v>
      </c>
      <c r="R40" s="65" t="s">
        <v>17</v>
      </c>
      <c r="S40" s="65" t="s">
        <v>18</v>
      </c>
      <c r="T40" s="65" t="s">
        <v>19</v>
      </c>
      <c r="U40" s="65" t="s">
        <v>20</v>
      </c>
      <c r="V40" s="65" t="s">
        <v>21</v>
      </c>
      <c r="W40" s="65" t="s">
        <v>22</v>
      </c>
      <c r="X40" s="65" t="s">
        <v>23</v>
      </c>
      <c r="Y40" s="65" t="s">
        <v>24</v>
      </c>
      <c r="Z40" s="65" t="s">
        <v>25</v>
      </c>
      <c r="AA40" s="65" t="s">
        <v>26</v>
      </c>
      <c r="AB40" s="65" t="s">
        <v>27</v>
      </c>
      <c r="AC40" s="64" t="s">
        <v>28</v>
      </c>
      <c r="AD40" s="65" t="s">
        <v>29</v>
      </c>
      <c r="AE40" s="40" t="s">
        <v>30</v>
      </c>
    </row>
    <row r="41" spans="1:31" x14ac:dyDescent="0.25">
      <c r="A41" s="9" t="s">
        <v>281</v>
      </c>
      <c r="B41" s="9"/>
      <c r="C41" s="9"/>
      <c r="D41" s="9"/>
      <c r="E41" s="9">
        <v>322839</v>
      </c>
      <c r="F41" s="9">
        <v>204540</v>
      </c>
      <c r="G41" s="9">
        <v>24413</v>
      </c>
      <c r="H41" s="9"/>
      <c r="I41" s="9"/>
      <c r="J41" s="9">
        <v>168278</v>
      </c>
      <c r="K41" s="9">
        <v>6881</v>
      </c>
      <c r="L41" s="9">
        <v>197631</v>
      </c>
      <c r="M41" s="9">
        <v>228296</v>
      </c>
      <c r="N41" s="9"/>
      <c r="O41" s="9">
        <v>21397</v>
      </c>
      <c r="P41" s="9">
        <v>813</v>
      </c>
      <c r="Q41" s="9"/>
      <c r="R41" s="9">
        <v>512919</v>
      </c>
      <c r="S41" s="9">
        <v>4855804</v>
      </c>
      <c r="T41" s="9">
        <v>705399</v>
      </c>
      <c r="U41" s="9">
        <v>47701</v>
      </c>
      <c r="V41" s="9">
        <v>366821</v>
      </c>
      <c r="W41" s="9"/>
      <c r="X41" s="9">
        <v>68738</v>
      </c>
      <c r="Y41" s="9">
        <v>55050</v>
      </c>
      <c r="Z41" s="9">
        <v>5929</v>
      </c>
      <c r="AA41" s="9"/>
      <c r="AB41" s="9">
        <v>2586544</v>
      </c>
      <c r="AC41" s="9">
        <v>1109885</v>
      </c>
      <c r="AD41" s="9">
        <v>5146</v>
      </c>
      <c r="AE41" s="9">
        <f>SUM(B41:AD41)</f>
        <v>11495024</v>
      </c>
    </row>
    <row r="42" spans="1:31" x14ac:dyDescent="0.25">
      <c r="A42" s="9" t="s">
        <v>239</v>
      </c>
      <c r="B42" s="9"/>
      <c r="C42" s="9"/>
      <c r="D42" s="9"/>
      <c r="E42" s="9">
        <v>116351</v>
      </c>
      <c r="F42" s="9">
        <v>104691</v>
      </c>
      <c r="G42" s="9">
        <v>32849</v>
      </c>
      <c r="H42" s="9"/>
      <c r="I42" s="9"/>
      <c r="J42" s="9">
        <v>88308</v>
      </c>
      <c r="K42" s="9">
        <v>4591</v>
      </c>
      <c r="L42" s="9">
        <v>87448</v>
      </c>
      <c r="M42" s="9">
        <v>160515</v>
      </c>
      <c r="N42" s="9"/>
      <c r="O42" s="9">
        <v>9704</v>
      </c>
      <c r="P42" s="9">
        <v>650</v>
      </c>
      <c r="Q42" s="9"/>
      <c r="R42" s="9">
        <v>438902</v>
      </c>
      <c r="S42" s="9">
        <v>4051648</v>
      </c>
      <c r="T42" s="9">
        <v>558255</v>
      </c>
      <c r="U42" s="9">
        <v>42578</v>
      </c>
      <c r="V42" s="9">
        <v>64676</v>
      </c>
      <c r="W42" s="9"/>
      <c r="X42" s="9">
        <v>31782</v>
      </c>
      <c r="Y42" s="9">
        <v>24603</v>
      </c>
      <c r="Z42" s="9">
        <v>3861</v>
      </c>
      <c r="AA42" s="9"/>
      <c r="AB42" s="9">
        <v>1415614</v>
      </c>
      <c r="AC42" s="9">
        <v>808763</v>
      </c>
      <c r="AD42" s="9">
        <v>2455</v>
      </c>
      <c r="AE42" s="9">
        <f>SUM(B42:AD42)</f>
        <v>8048244</v>
      </c>
    </row>
    <row r="43" spans="1:31" x14ac:dyDescent="0.25">
      <c r="A43" s="9" t="s">
        <v>240</v>
      </c>
      <c r="B43" s="9"/>
      <c r="C43" s="9"/>
      <c r="D43" s="9"/>
      <c r="E43" s="9">
        <v>116659</v>
      </c>
      <c r="F43" s="9">
        <v>104611</v>
      </c>
      <c r="G43" s="9">
        <v>30831</v>
      </c>
      <c r="H43" s="9"/>
      <c r="I43" s="9"/>
      <c r="J43" s="9">
        <v>83999</v>
      </c>
      <c r="K43" s="9">
        <v>8864</v>
      </c>
      <c r="L43" s="9">
        <v>69315</v>
      </c>
      <c r="M43" s="9">
        <v>148748</v>
      </c>
      <c r="N43" s="9"/>
      <c r="O43" s="9">
        <v>5860</v>
      </c>
      <c r="P43" s="9">
        <v>504</v>
      </c>
      <c r="Q43" s="9"/>
      <c r="R43" s="9">
        <v>441320</v>
      </c>
      <c r="S43" s="9">
        <v>4219083</v>
      </c>
      <c r="T43" s="9">
        <v>515874</v>
      </c>
      <c r="U43" s="9">
        <v>38371</v>
      </c>
      <c r="V43" s="9">
        <v>73470</v>
      </c>
      <c r="W43" s="9"/>
      <c r="X43" s="9">
        <v>31475</v>
      </c>
      <c r="Y43" s="9">
        <v>17088</v>
      </c>
      <c r="Z43" s="9">
        <v>2717</v>
      </c>
      <c r="AA43" s="9"/>
      <c r="AB43" s="9">
        <v>1375078</v>
      </c>
      <c r="AC43" s="9">
        <v>639403</v>
      </c>
      <c r="AD43" s="9">
        <v>6949</v>
      </c>
      <c r="AE43" s="9">
        <f>SUM(B43:AD43)</f>
        <v>7930219</v>
      </c>
    </row>
    <row r="45" spans="1:31" x14ac:dyDescent="0.25">
      <c r="A45" s="25" t="s">
        <v>233</v>
      </c>
    </row>
    <row r="46" spans="1:31" x14ac:dyDescent="0.25">
      <c r="A46" s="1" t="s">
        <v>0</v>
      </c>
      <c r="B46" s="65" t="s">
        <v>1</v>
      </c>
      <c r="C46" s="65" t="s">
        <v>2</v>
      </c>
      <c r="D46" s="65" t="s">
        <v>3</v>
      </c>
      <c r="E46" s="65" t="s">
        <v>4</v>
      </c>
      <c r="F46" s="65" t="s">
        <v>5</v>
      </c>
      <c r="G46" s="65" t="s">
        <v>6</v>
      </c>
      <c r="H46" s="65" t="s">
        <v>7</v>
      </c>
      <c r="I46" s="65" t="s">
        <v>8</v>
      </c>
      <c r="J46" s="65" t="s">
        <v>9</v>
      </c>
      <c r="K46" s="65" t="s">
        <v>10</v>
      </c>
      <c r="L46" s="65" t="s">
        <v>11</v>
      </c>
      <c r="M46" s="65" t="s">
        <v>12</v>
      </c>
      <c r="N46" s="65" t="s">
        <v>13</v>
      </c>
      <c r="O46" s="65" t="s">
        <v>14</v>
      </c>
      <c r="P46" s="65" t="s">
        <v>15</v>
      </c>
      <c r="Q46" s="65" t="s">
        <v>16</v>
      </c>
      <c r="R46" s="65" t="s">
        <v>17</v>
      </c>
      <c r="S46" s="65" t="s">
        <v>18</v>
      </c>
      <c r="T46" s="65" t="s">
        <v>19</v>
      </c>
      <c r="U46" s="65" t="s">
        <v>20</v>
      </c>
      <c r="V46" s="65" t="s">
        <v>21</v>
      </c>
      <c r="W46" s="65" t="s">
        <v>22</v>
      </c>
      <c r="X46" s="65" t="s">
        <v>23</v>
      </c>
      <c r="Y46" s="65" t="s">
        <v>24</v>
      </c>
      <c r="Z46" s="65" t="s">
        <v>25</v>
      </c>
      <c r="AA46" s="65" t="s">
        <v>26</v>
      </c>
      <c r="AB46" s="65" t="s">
        <v>27</v>
      </c>
      <c r="AC46" s="64" t="s">
        <v>28</v>
      </c>
      <c r="AD46" s="65" t="s">
        <v>29</v>
      </c>
      <c r="AE46" s="40" t="s">
        <v>30</v>
      </c>
    </row>
    <row r="47" spans="1:31" x14ac:dyDescent="0.25">
      <c r="A47" s="9" t="s">
        <v>281</v>
      </c>
      <c r="B47" s="9"/>
      <c r="C47" s="9"/>
      <c r="D47" s="9"/>
      <c r="E47" s="9">
        <v>32672</v>
      </c>
      <c r="F47" s="9"/>
      <c r="G47" s="9"/>
      <c r="H47" s="9"/>
      <c r="I47" s="9"/>
      <c r="J47" s="9">
        <v>30209</v>
      </c>
      <c r="K47" s="9"/>
      <c r="L47" s="9">
        <v>578477</v>
      </c>
      <c r="M47" s="9">
        <v>6351</v>
      </c>
      <c r="N47" s="9"/>
      <c r="O47" s="9"/>
      <c r="P47" s="9"/>
      <c r="Q47" s="9"/>
      <c r="R47" s="9">
        <v>608339</v>
      </c>
      <c r="S47" s="9">
        <v>1245128</v>
      </c>
      <c r="T47" s="9">
        <v>897953</v>
      </c>
      <c r="U47" s="9"/>
      <c r="V47" s="9">
        <v>65791</v>
      </c>
      <c r="W47" s="9"/>
      <c r="X47" s="9"/>
      <c r="Y47" s="9">
        <v>-13066</v>
      </c>
      <c r="Z47" s="9"/>
      <c r="AA47" s="9"/>
      <c r="AB47" s="9">
        <v>31260</v>
      </c>
      <c r="AC47" s="9">
        <v>569697</v>
      </c>
      <c r="AD47" s="9">
        <v>18</v>
      </c>
      <c r="AE47" s="9">
        <f>SUM(B47:AD47)</f>
        <v>4052829</v>
      </c>
    </row>
    <row r="48" spans="1:31" x14ac:dyDescent="0.25">
      <c r="A48" s="9" t="s">
        <v>239</v>
      </c>
      <c r="B48" s="9"/>
      <c r="C48" s="9"/>
      <c r="D48" s="9"/>
      <c r="E48" s="9">
        <v>2344</v>
      </c>
      <c r="F48" s="9"/>
      <c r="G48" s="9"/>
      <c r="H48" s="9"/>
      <c r="I48" s="9"/>
      <c r="J48" s="9">
        <v>1615</v>
      </c>
      <c r="K48" s="9"/>
      <c r="L48" s="9">
        <v>455621</v>
      </c>
      <c r="M48">
        <v>58</v>
      </c>
      <c r="N48" s="9"/>
      <c r="O48" s="9"/>
      <c r="P48" s="9"/>
      <c r="Q48" s="9"/>
      <c r="R48" s="9">
        <v>102808</v>
      </c>
      <c r="S48" s="9">
        <v>841219</v>
      </c>
      <c r="T48" s="9">
        <v>196743</v>
      </c>
      <c r="U48" s="9"/>
      <c r="V48" s="9">
        <v>234</v>
      </c>
      <c r="W48" s="9"/>
      <c r="X48" s="9"/>
      <c r="Y48" s="9">
        <v>126</v>
      </c>
      <c r="Z48" s="9"/>
      <c r="AA48" s="9"/>
      <c r="AB48" s="9">
        <v>63</v>
      </c>
      <c r="AC48" s="9">
        <v>57942</v>
      </c>
      <c r="AD48" s="9">
        <v>3</v>
      </c>
      <c r="AE48" s="9">
        <f>SUM(B48:AD48)</f>
        <v>1658776</v>
      </c>
    </row>
    <row r="49" spans="1:31" x14ac:dyDescent="0.25">
      <c r="A49" s="9" t="s">
        <v>240</v>
      </c>
      <c r="B49" s="9"/>
      <c r="C49" s="9"/>
      <c r="D49" s="9"/>
      <c r="E49" s="9">
        <v>2689</v>
      </c>
      <c r="F49" s="9"/>
      <c r="G49" s="9"/>
      <c r="H49" s="9"/>
      <c r="I49" s="9"/>
      <c r="J49" s="9">
        <v>1023</v>
      </c>
      <c r="K49" s="9"/>
      <c r="L49" s="9">
        <v>449821</v>
      </c>
      <c r="M49" s="9">
        <v>103</v>
      </c>
      <c r="N49" s="9"/>
      <c r="O49" s="9"/>
      <c r="P49" s="9"/>
      <c r="Q49" s="9"/>
      <c r="R49" s="9">
        <v>49950</v>
      </c>
      <c r="S49" s="9">
        <v>792816</v>
      </c>
      <c r="T49" s="9">
        <v>192789</v>
      </c>
      <c r="U49" s="9"/>
      <c r="V49" s="9">
        <v>326</v>
      </c>
      <c r="W49" s="9"/>
      <c r="X49" s="9"/>
      <c r="Y49" s="9">
        <v>126</v>
      </c>
      <c r="Z49" s="9"/>
      <c r="AA49" s="9"/>
      <c r="AB49" s="9">
        <v>44</v>
      </c>
      <c r="AC49" s="9">
        <v>28971</v>
      </c>
      <c r="AD49" s="9">
        <v>3</v>
      </c>
      <c r="AE49" s="9">
        <f>SUM(B49:AD49)</f>
        <v>1518661</v>
      </c>
    </row>
    <row r="51" spans="1:31" x14ac:dyDescent="0.25">
      <c r="A51" s="25" t="s">
        <v>234</v>
      </c>
    </row>
    <row r="52" spans="1:31" x14ac:dyDescent="0.25">
      <c r="A52" s="1" t="s">
        <v>0</v>
      </c>
      <c r="B52" s="65" t="s">
        <v>1</v>
      </c>
      <c r="C52" s="65" t="s">
        <v>2</v>
      </c>
      <c r="D52" s="65" t="s">
        <v>3</v>
      </c>
      <c r="E52" s="65" t="s">
        <v>4</v>
      </c>
      <c r="F52" s="65" t="s">
        <v>5</v>
      </c>
      <c r="G52" s="65" t="s">
        <v>6</v>
      </c>
      <c r="H52" s="65" t="s">
        <v>7</v>
      </c>
      <c r="I52" s="65" t="s">
        <v>8</v>
      </c>
      <c r="J52" s="65" t="s">
        <v>9</v>
      </c>
      <c r="K52" s="65" t="s">
        <v>10</v>
      </c>
      <c r="L52" s="65" t="s">
        <v>11</v>
      </c>
      <c r="M52" s="65" t="s">
        <v>12</v>
      </c>
      <c r="N52" s="65" t="s">
        <v>13</v>
      </c>
      <c r="O52" s="65" t="s">
        <v>14</v>
      </c>
      <c r="P52" s="65" t="s">
        <v>15</v>
      </c>
      <c r="Q52" s="65" t="s">
        <v>16</v>
      </c>
      <c r="R52" s="65" t="s">
        <v>17</v>
      </c>
      <c r="S52" s="65" t="s">
        <v>18</v>
      </c>
      <c r="T52" s="65" t="s">
        <v>19</v>
      </c>
      <c r="U52" s="65" t="s">
        <v>20</v>
      </c>
      <c r="V52" s="65" t="s">
        <v>21</v>
      </c>
      <c r="W52" s="65" t="s">
        <v>22</v>
      </c>
      <c r="X52" s="65" t="s">
        <v>23</v>
      </c>
      <c r="Y52" s="65" t="s">
        <v>24</v>
      </c>
      <c r="Z52" s="65" t="s">
        <v>25</v>
      </c>
      <c r="AA52" s="65" t="s">
        <v>26</v>
      </c>
      <c r="AB52" s="65" t="s">
        <v>27</v>
      </c>
      <c r="AC52" s="64" t="s">
        <v>28</v>
      </c>
      <c r="AD52" s="65" t="s">
        <v>29</v>
      </c>
      <c r="AE52" s="40" t="s">
        <v>30</v>
      </c>
    </row>
    <row r="53" spans="1:31" x14ac:dyDescent="0.25">
      <c r="A53" s="9" t="s">
        <v>281</v>
      </c>
      <c r="B53" s="9">
        <f>B59-B47-B41-B35-B29-B23-B17-B11-B5</f>
        <v>1</v>
      </c>
      <c r="C53" s="9">
        <f t="shared" ref="C53:AD53" si="0">C59-C47-C41-C35-C29-C23-C17-C11-C5</f>
        <v>69795611</v>
      </c>
      <c r="D53" s="9">
        <f t="shared" ref="D53" si="1">D59-D47-D41-D35-D29-D23-D17-D11-D5</f>
        <v>125449</v>
      </c>
      <c r="E53" s="9">
        <f t="shared" ref="E53" si="2">E59-E47-E41-E35-E29-E23-E17-E11-E5</f>
        <v>20177983</v>
      </c>
      <c r="F53" s="9">
        <f t="shared" si="0"/>
        <v>194003</v>
      </c>
      <c r="G53" s="9">
        <f t="shared" si="0"/>
        <v>3097322</v>
      </c>
      <c r="H53" s="9">
        <f t="shared" si="0"/>
        <v>0</v>
      </c>
      <c r="I53" s="9">
        <f t="shared" si="0"/>
        <v>12676248.710000001</v>
      </c>
      <c r="J53" s="9">
        <f t="shared" si="0"/>
        <v>3462604</v>
      </c>
      <c r="K53" s="9">
        <f t="shared" si="0"/>
        <v>44054</v>
      </c>
      <c r="L53" s="9">
        <f t="shared" si="0"/>
        <v>27698710</v>
      </c>
      <c r="M53" s="9">
        <f t="shared" si="0"/>
        <v>15203156</v>
      </c>
      <c r="N53" s="9">
        <f t="shared" si="0"/>
        <v>52</v>
      </c>
      <c r="O53" s="9">
        <f t="shared" si="0"/>
        <v>223591</v>
      </c>
      <c r="P53" s="9">
        <f t="shared" si="0"/>
        <v>241640</v>
      </c>
      <c r="Q53" s="9">
        <f t="shared" si="0"/>
        <v>0</v>
      </c>
      <c r="R53" s="9">
        <f t="shared" si="0"/>
        <v>13740515</v>
      </c>
      <c r="S53" s="9">
        <f t="shared" si="0"/>
        <v>18464510</v>
      </c>
      <c r="T53" s="9">
        <f t="shared" si="0"/>
        <v>14490842</v>
      </c>
      <c r="U53" s="9">
        <f t="shared" si="0"/>
        <v>226721</v>
      </c>
      <c r="V53" s="9">
        <f t="shared" si="0"/>
        <v>11455872</v>
      </c>
      <c r="W53" s="9">
        <f t="shared" si="0"/>
        <v>346827.79999999981</v>
      </c>
      <c r="X53" s="9">
        <f t="shared" si="0"/>
        <v>170485</v>
      </c>
      <c r="Y53" s="9">
        <f t="shared" si="0"/>
        <v>3691297</v>
      </c>
      <c r="Z53" s="9">
        <f t="shared" si="0"/>
        <v>2096120</v>
      </c>
      <c r="AA53" s="9">
        <f t="shared" si="0"/>
        <v>29600529</v>
      </c>
      <c r="AB53" s="9">
        <f t="shared" si="0"/>
        <v>5628773</v>
      </c>
      <c r="AC53" s="9">
        <f t="shared" si="0"/>
        <v>21182617</v>
      </c>
      <c r="AD53" s="9">
        <f t="shared" si="0"/>
        <v>6204589</v>
      </c>
      <c r="AE53" s="9">
        <f>SUM(B53:AD53)</f>
        <v>280240122.50999999</v>
      </c>
    </row>
    <row r="54" spans="1:31" x14ac:dyDescent="0.25">
      <c r="A54" s="9" t="s">
        <v>239</v>
      </c>
      <c r="B54" s="9">
        <f>B60-B48-B42-B36-B30-B24-B18-B12-B6</f>
        <v>0</v>
      </c>
      <c r="C54" s="9">
        <f t="shared" ref="C54:AD54" si="3">C60-C48-C42-C36-C30-C24-C18-C12-C6</f>
        <v>17779170</v>
      </c>
      <c r="D54" s="9">
        <f t="shared" ref="D54" si="4">D60-D48-D42-D36-D30-D24-D18-D12-D6</f>
        <v>112997</v>
      </c>
      <c r="E54" s="9">
        <f t="shared" ref="E54" si="5">E60-E48-E42-E36-E30-E24-E18-E12-E6</f>
        <v>4715928</v>
      </c>
      <c r="F54" s="9">
        <f t="shared" si="3"/>
        <v>97657</v>
      </c>
      <c r="G54" s="9">
        <f t="shared" si="3"/>
        <v>669692</v>
      </c>
      <c r="H54" s="9">
        <f t="shared" si="3"/>
        <v>0</v>
      </c>
      <c r="I54" s="9">
        <f t="shared" si="3"/>
        <v>8396491.3699999992</v>
      </c>
      <c r="J54" s="9">
        <f t="shared" si="3"/>
        <v>1308854</v>
      </c>
      <c r="K54" s="9">
        <f t="shared" si="3"/>
        <v>32101</v>
      </c>
      <c r="L54" s="9">
        <f t="shared" si="3"/>
        <v>9083286</v>
      </c>
      <c r="M54" s="9">
        <f t="shared" si="3"/>
        <v>5726926</v>
      </c>
      <c r="N54" s="9">
        <f t="shared" si="3"/>
        <v>14</v>
      </c>
      <c r="O54" s="9">
        <f t="shared" si="3"/>
        <v>140507</v>
      </c>
      <c r="P54" s="9">
        <f t="shared" si="3"/>
        <v>29933</v>
      </c>
      <c r="Q54" s="9">
        <f t="shared" si="3"/>
        <v>0</v>
      </c>
      <c r="R54" s="9">
        <f t="shared" si="3"/>
        <v>4717103</v>
      </c>
      <c r="S54" s="9">
        <f t="shared" si="3"/>
        <v>10621047</v>
      </c>
      <c r="T54" s="9">
        <f t="shared" si="3"/>
        <v>7847834</v>
      </c>
      <c r="U54" s="9">
        <f t="shared" si="3"/>
        <v>218850</v>
      </c>
      <c r="V54" s="9">
        <f t="shared" si="3"/>
        <v>2045645</v>
      </c>
      <c r="W54" s="9">
        <f t="shared" si="3"/>
        <v>273903.70000000019</v>
      </c>
      <c r="X54" s="9">
        <f t="shared" si="3"/>
        <v>107033</v>
      </c>
      <c r="Y54" s="9">
        <f t="shared" si="3"/>
        <v>612307</v>
      </c>
      <c r="Z54" s="9">
        <f t="shared" si="3"/>
        <v>254441</v>
      </c>
      <c r="AA54" s="9">
        <f t="shared" si="3"/>
        <v>22831622</v>
      </c>
      <c r="AB54" s="9">
        <f t="shared" si="3"/>
        <v>1246516</v>
      </c>
      <c r="AC54" s="9">
        <f t="shared" si="3"/>
        <v>10781037</v>
      </c>
      <c r="AD54" s="9">
        <f t="shared" si="3"/>
        <v>1287463</v>
      </c>
      <c r="AE54" s="9">
        <f>SUM(B54:AD54)</f>
        <v>110938358.07000001</v>
      </c>
    </row>
    <row r="55" spans="1:31" x14ac:dyDescent="0.25">
      <c r="A55" s="9" t="s">
        <v>240</v>
      </c>
      <c r="B55" s="9">
        <f>B61-B49-B43-B37-B31-B25-B19-B13-B7</f>
        <v>0</v>
      </c>
      <c r="C55" s="9">
        <f t="shared" ref="C55:AD55" si="6">C61-C49-C43-C37-C31-C25-C19-C13-C7</f>
        <v>20029820</v>
      </c>
      <c r="D55" s="9">
        <f t="shared" ref="D55" si="7">D61-D49-D43-D37-D31-D25-D19-D13-D7</f>
        <v>111546</v>
      </c>
      <c r="E55" s="9">
        <f t="shared" ref="E55" si="8">E61-E49-E43-E37-E31-E25-E19-E13-E7</f>
        <v>4509888</v>
      </c>
      <c r="F55" s="9">
        <f t="shared" si="6"/>
        <v>103949</v>
      </c>
      <c r="G55" s="9">
        <f t="shared" si="6"/>
        <v>645427</v>
      </c>
      <c r="H55" s="9">
        <f t="shared" si="6"/>
        <v>-1</v>
      </c>
      <c r="I55" s="9">
        <f t="shared" si="6"/>
        <v>8715727.7799999993</v>
      </c>
      <c r="J55" s="9">
        <f t="shared" si="6"/>
        <v>978179</v>
      </c>
      <c r="K55" s="9">
        <f t="shared" si="6"/>
        <v>53611</v>
      </c>
      <c r="L55" s="9">
        <f t="shared" si="6"/>
        <v>8550016</v>
      </c>
      <c r="M55" s="9">
        <f t="shared" si="6"/>
        <v>5714564</v>
      </c>
      <c r="N55" s="9">
        <f t="shared" si="6"/>
        <v>-7</v>
      </c>
      <c r="O55" s="9">
        <f t="shared" si="6"/>
        <v>132545</v>
      </c>
      <c r="P55" s="9">
        <f t="shared" si="6"/>
        <v>33926</v>
      </c>
      <c r="Q55" s="9">
        <f t="shared" si="6"/>
        <v>0</v>
      </c>
      <c r="R55" s="9">
        <f t="shared" si="6"/>
        <v>5240508</v>
      </c>
      <c r="S55" s="9">
        <f t="shared" si="6"/>
        <v>10579118</v>
      </c>
      <c r="T55" s="9">
        <f t="shared" si="6"/>
        <v>6628720</v>
      </c>
      <c r="U55" s="9">
        <f t="shared" si="6"/>
        <v>201024</v>
      </c>
      <c r="V55" s="9">
        <f t="shared" si="6"/>
        <v>1980695</v>
      </c>
      <c r="W55" s="9">
        <f t="shared" si="6"/>
        <v>257001.40000000037</v>
      </c>
      <c r="X55" s="9">
        <f t="shared" si="6"/>
        <v>99246</v>
      </c>
      <c r="Y55" s="9">
        <f t="shared" si="6"/>
        <v>585083</v>
      </c>
      <c r="Z55" s="9">
        <f t="shared" si="6"/>
        <v>209151</v>
      </c>
      <c r="AA55" s="9">
        <f t="shared" si="6"/>
        <v>19114548</v>
      </c>
      <c r="AB55" s="9">
        <f t="shared" si="6"/>
        <v>1245184</v>
      </c>
      <c r="AC55" s="9">
        <f t="shared" si="6"/>
        <v>8842017</v>
      </c>
      <c r="AD55" s="9">
        <f t="shared" si="6"/>
        <v>1357520</v>
      </c>
      <c r="AE55" s="9">
        <f>SUM(B55:AD55)</f>
        <v>105919006.18000001</v>
      </c>
    </row>
    <row r="57" spans="1:31" x14ac:dyDescent="0.25">
      <c r="A57" s="25" t="s">
        <v>51</v>
      </c>
    </row>
    <row r="58" spans="1:31" x14ac:dyDescent="0.25">
      <c r="A58" s="1" t="s">
        <v>0</v>
      </c>
      <c r="B58" s="65" t="s">
        <v>1</v>
      </c>
      <c r="C58" s="65" t="s">
        <v>2</v>
      </c>
      <c r="D58" s="65" t="s">
        <v>3</v>
      </c>
      <c r="E58" s="65" t="s">
        <v>4</v>
      </c>
      <c r="F58" s="65" t="s">
        <v>5</v>
      </c>
      <c r="G58" s="65" t="s">
        <v>6</v>
      </c>
      <c r="H58" s="65" t="s">
        <v>7</v>
      </c>
      <c r="I58" s="65" t="s">
        <v>8</v>
      </c>
      <c r="J58" s="65" t="s">
        <v>9</v>
      </c>
      <c r="K58" s="65" t="s">
        <v>10</v>
      </c>
      <c r="L58" s="65" t="s">
        <v>11</v>
      </c>
      <c r="M58" s="65" t="s">
        <v>12</v>
      </c>
      <c r="N58" s="65" t="s">
        <v>13</v>
      </c>
      <c r="O58" s="65" t="s">
        <v>14</v>
      </c>
      <c r="P58" s="65" t="s">
        <v>15</v>
      </c>
      <c r="Q58" s="65" t="s">
        <v>16</v>
      </c>
      <c r="R58" s="65" t="s">
        <v>17</v>
      </c>
      <c r="S58" s="65" t="s">
        <v>18</v>
      </c>
      <c r="T58" s="65" t="s">
        <v>19</v>
      </c>
      <c r="U58" s="65" t="s">
        <v>20</v>
      </c>
      <c r="V58" s="65" t="s">
        <v>21</v>
      </c>
      <c r="W58" s="65" t="s">
        <v>22</v>
      </c>
      <c r="X58" s="65" t="s">
        <v>23</v>
      </c>
      <c r="Y58" s="65" t="s">
        <v>24</v>
      </c>
      <c r="Z58" s="65" t="s">
        <v>25</v>
      </c>
      <c r="AA58" s="65" t="s">
        <v>26</v>
      </c>
      <c r="AB58" s="65" t="s">
        <v>27</v>
      </c>
      <c r="AC58" s="64" t="s">
        <v>28</v>
      </c>
      <c r="AD58" s="65" t="s">
        <v>29</v>
      </c>
      <c r="AE58" s="40" t="s">
        <v>30</v>
      </c>
    </row>
    <row r="59" spans="1:31" x14ac:dyDescent="0.25">
      <c r="A59" s="9" t="s">
        <v>281</v>
      </c>
      <c r="B59" s="9">
        <v>540424</v>
      </c>
      <c r="C59" s="9">
        <v>69795611</v>
      </c>
      <c r="D59" s="9">
        <v>13019305</v>
      </c>
      <c r="E59" s="9">
        <v>76332798</v>
      </c>
      <c r="F59" s="9">
        <v>13140936</v>
      </c>
      <c r="G59" s="9">
        <v>31332796</v>
      </c>
      <c r="H59" s="9">
        <v>2218043</v>
      </c>
      <c r="I59" s="9">
        <v>12676248.710000001</v>
      </c>
      <c r="J59" s="9">
        <v>18154969</v>
      </c>
      <c r="K59" s="9">
        <v>3484326</v>
      </c>
      <c r="L59" s="9">
        <v>107251960</v>
      </c>
      <c r="M59" s="9">
        <v>55637026</v>
      </c>
      <c r="N59" s="9">
        <v>820529</v>
      </c>
      <c r="O59" s="9">
        <v>5845922</v>
      </c>
      <c r="P59" s="9">
        <v>4194917</v>
      </c>
      <c r="Q59" s="9">
        <v>5939338</v>
      </c>
      <c r="R59" s="9">
        <v>142823604</v>
      </c>
      <c r="S59" s="9">
        <v>215979163</v>
      </c>
      <c r="T59" s="9">
        <v>111170207</v>
      </c>
      <c r="U59" s="9">
        <v>589162</v>
      </c>
      <c r="V59" s="9">
        <v>39353496</v>
      </c>
      <c r="W59" s="9">
        <v>7260667.7000000002</v>
      </c>
      <c r="X59" s="9">
        <v>21887833</v>
      </c>
      <c r="Y59" s="9">
        <v>26044858</v>
      </c>
      <c r="Z59" s="9">
        <v>21024240</v>
      </c>
      <c r="AA59" s="9">
        <v>29600529</v>
      </c>
      <c r="AB59" s="9">
        <v>41679725</v>
      </c>
      <c r="AC59" s="9">
        <v>160628118</v>
      </c>
      <c r="AD59" s="9">
        <v>12872305</v>
      </c>
      <c r="AE59" s="9">
        <f>SUM(B59:AD59)</f>
        <v>1251299056.4100001</v>
      </c>
    </row>
    <row r="60" spans="1:31" x14ac:dyDescent="0.25">
      <c r="A60" s="9" t="s">
        <v>239</v>
      </c>
      <c r="B60" s="9">
        <v>512197</v>
      </c>
      <c r="C60" s="9">
        <v>17779170</v>
      </c>
      <c r="D60" s="9">
        <v>10687666</v>
      </c>
      <c r="E60" s="9">
        <v>53008839</v>
      </c>
      <c r="F60" s="9">
        <v>11653019</v>
      </c>
      <c r="G60" s="9">
        <v>25700666</v>
      </c>
      <c r="H60" s="9">
        <v>2081210</v>
      </c>
      <c r="I60" s="9">
        <v>8396491.3699999992</v>
      </c>
      <c r="J60" s="9">
        <v>11318843</v>
      </c>
      <c r="K60" s="9">
        <v>2249569</v>
      </c>
      <c r="L60" s="9">
        <v>65947994</v>
      </c>
      <c r="M60" s="9">
        <v>34618855</v>
      </c>
      <c r="N60" s="9">
        <v>767282</v>
      </c>
      <c r="O60" s="9">
        <v>5030109</v>
      </c>
      <c r="P60" s="9">
        <v>3266321</v>
      </c>
      <c r="Q60" s="9">
        <v>5639160</v>
      </c>
      <c r="R60" s="9">
        <v>96525989</v>
      </c>
      <c r="S60" s="9">
        <v>185909166</v>
      </c>
      <c r="T60" s="9">
        <v>92223856</v>
      </c>
      <c r="U60" s="9">
        <v>502986</v>
      </c>
      <c r="V60" s="9">
        <v>20439047</v>
      </c>
      <c r="W60" s="9">
        <v>5272047.4000000004</v>
      </c>
      <c r="X60" s="9">
        <v>19045467</v>
      </c>
      <c r="Y60" s="9">
        <v>16300070</v>
      </c>
      <c r="Z60" s="9">
        <v>17956070</v>
      </c>
      <c r="AA60" s="9">
        <v>22831622</v>
      </c>
      <c r="AB60" s="9">
        <v>29095988</v>
      </c>
      <c r="AC60" s="9">
        <v>133464834</v>
      </c>
      <c r="AD60" s="9">
        <v>6651676</v>
      </c>
      <c r="AE60" s="9">
        <f>SUM(B60:AD60)</f>
        <v>904876209.76999998</v>
      </c>
    </row>
    <row r="61" spans="1:31" x14ac:dyDescent="0.25">
      <c r="A61" s="9" t="s">
        <v>240</v>
      </c>
      <c r="B61" s="9">
        <v>134831</v>
      </c>
      <c r="C61" s="9">
        <v>20029820</v>
      </c>
      <c r="D61" s="9">
        <v>11013079</v>
      </c>
      <c r="E61" s="9">
        <v>49370455</v>
      </c>
      <c r="F61" s="9">
        <v>11387975</v>
      </c>
      <c r="G61" s="9">
        <v>22480712</v>
      </c>
      <c r="H61" s="9">
        <v>1817686</v>
      </c>
      <c r="I61" s="9">
        <v>8715727.7799999993</v>
      </c>
      <c r="J61" s="9">
        <v>10879039</v>
      </c>
      <c r="K61" s="9">
        <v>3391286</v>
      </c>
      <c r="L61" s="9">
        <v>61636042</v>
      </c>
      <c r="M61" s="9">
        <v>35109985</v>
      </c>
      <c r="N61" s="9">
        <v>328573</v>
      </c>
      <c r="O61" s="9">
        <v>4169694</v>
      </c>
      <c r="P61" s="9">
        <v>3270894</v>
      </c>
      <c r="Q61" s="9">
        <v>5442811</v>
      </c>
      <c r="R61" s="9">
        <v>108036273</v>
      </c>
      <c r="S61" s="9">
        <v>178147805</v>
      </c>
      <c r="T61" s="9">
        <v>83832645</v>
      </c>
      <c r="U61" s="9">
        <v>374635</v>
      </c>
      <c r="V61" s="9">
        <v>20889488</v>
      </c>
      <c r="W61" s="9">
        <v>4840016.7</v>
      </c>
      <c r="X61" s="9">
        <v>17209878</v>
      </c>
      <c r="Y61" s="9">
        <v>14764243</v>
      </c>
      <c r="Z61" s="9">
        <v>16823379</v>
      </c>
      <c r="AA61" s="9">
        <v>19114548</v>
      </c>
      <c r="AB61" s="9">
        <v>24074401</v>
      </c>
      <c r="AC61" s="9">
        <v>120323147</v>
      </c>
      <c r="AD61" s="9">
        <v>6624519</v>
      </c>
      <c r="AE61" s="9">
        <f>SUM(B61:AD61)</f>
        <v>864233587.48000002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31" width="16" style="6" customWidth="1"/>
    <col min="32" max="16384" width="9.140625" style="6"/>
  </cols>
  <sheetData>
    <row r="1" spans="1:31" ht="18.75" x14ac:dyDescent="0.3">
      <c r="A1" s="4" t="s">
        <v>237</v>
      </c>
    </row>
    <row r="2" spans="1:31" x14ac:dyDescent="0.25">
      <c r="A2" s="13" t="s">
        <v>43</v>
      </c>
    </row>
    <row r="3" spans="1:31" x14ac:dyDescent="0.25">
      <c r="A3" s="29" t="s">
        <v>226</v>
      </c>
    </row>
    <row r="4" spans="1:31" x14ac:dyDescent="0.25">
      <c r="A4" s="3" t="s">
        <v>0</v>
      </c>
      <c r="B4" s="65" t="s">
        <v>1</v>
      </c>
      <c r="C4" s="65" t="s">
        <v>2</v>
      </c>
      <c r="D4" s="65" t="s">
        <v>3</v>
      </c>
      <c r="E4" s="65" t="s">
        <v>4</v>
      </c>
      <c r="F4" s="65" t="s">
        <v>5</v>
      </c>
      <c r="G4" s="65" t="s">
        <v>6</v>
      </c>
      <c r="H4" s="65" t="s">
        <v>7</v>
      </c>
      <c r="I4" s="65" t="s">
        <v>8</v>
      </c>
      <c r="J4" s="65" t="s">
        <v>9</v>
      </c>
      <c r="K4" s="65" t="s">
        <v>10</v>
      </c>
      <c r="L4" s="65" t="s">
        <v>11</v>
      </c>
      <c r="M4" s="65" t="s">
        <v>12</v>
      </c>
      <c r="N4" s="65" t="s">
        <v>13</v>
      </c>
      <c r="O4" s="65" t="s">
        <v>14</v>
      </c>
      <c r="P4" s="65" t="s">
        <v>15</v>
      </c>
      <c r="Q4" s="65" t="s">
        <v>16</v>
      </c>
      <c r="R4" s="65" t="s">
        <v>17</v>
      </c>
      <c r="S4" s="65" t="s">
        <v>18</v>
      </c>
      <c r="T4" s="65" t="s">
        <v>19</v>
      </c>
      <c r="U4" s="65" t="s">
        <v>20</v>
      </c>
      <c r="V4" s="65" t="s">
        <v>21</v>
      </c>
      <c r="W4" s="65" t="s">
        <v>22</v>
      </c>
      <c r="X4" s="65" t="s">
        <v>23</v>
      </c>
      <c r="Y4" s="65" t="s">
        <v>24</v>
      </c>
      <c r="Z4" s="65" t="s">
        <v>25</v>
      </c>
      <c r="AA4" s="65" t="s">
        <v>26</v>
      </c>
      <c r="AB4" s="65" t="s">
        <v>27</v>
      </c>
      <c r="AC4" s="64" t="s">
        <v>28</v>
      </c>
      <c r="AD4" s="65" t="s">
        <v>29</v>
      </c>
      <c r="AE4" s="40" t="s">
        <v>30</v>
      </c>
    </row>
    <row r="5" spans="1:31" x14ac:dyDescent="0.25">
      <c r="A5" s="22" t="s">
        <v>238</v>
      </c>
      <c r="B5" s="9"/>
      <c r="C5" s="9"/>
      <c r="D5" s="9"/>
      <c r="E5" s="9">
        <v>2449067</v>
      </c>
      <c r="F5" s="9">
        <v>439007</v>
      </c>
      <c r="G5" s="9">
        <v>1525867</v>
      </c>
      <c r="H5" s="9"/>
      <c r="I5" s="9"/>
      <c r="J5" s="9">
        <v>1528817</v>
      </c>
      <c r="K5" s="9">
        <v>409451</v>
      </c>
      <c r="L5" s="9">
        <v>3101206</v>
      </c>
      <c r="M5" s="9">
        <v>1133511</v>
      </c>
      <c r="N5" s="9"/>
      <c r="O5" s="9">
        <v>163539</v>
      </c>
      <c r="P5" s="9">
        <v>124525</v>
      </c>
      <c r="Q5" s="9"/>
      <c r="R5" s="9">
        <v>7546983.4759999998</v>
      </c>
      <c r="S5" s="9">
        <v>17248777</v>
      </c>
      <c r="T5" s="9">
        <v>7134368</v>
      </c>
      <c r="U5" s="9">
        <v>7149</v>
      </c>
      <c r="V5" s="9">
        <v>1614388</v>
      </c>
      <c r="W5" s="9"/>
      <c r="X5" s="9">
        <v>541643</v>
      </c>
      <c r="Y5" s="9">
        <v>2711822</v>
      </c>
      <c r="Z5" s="9">
        <v>60006</v>
      </c>
      <c r="AA5" s="9"/>
      <c r="AB5" s="9">
        <v>2439212</v>
      </c>
      <c r="AC5" s="9">
        <v>8722107</v>
      </c>
      <c r="AD5" s="9">
        <v>911746</v>
      </c>
      <c r="AE5" s="9">
        <f>SUM(B5:AD5)</f>
        <v>59813191.475999996</v>
      </c>
    </row>
    <row r="6" spans="1:31" x14ac:dyDescent="0.25">
      <c r="A6" s="22" t="s">
        <v>283</v>
      </c>
      <c r="B6" s="9"/>
      <c r="C6" s="9"/>
      <c r="D6" s="9"/>
      <c r="E6" s="9">
        <v>550326</v>
      </c>
      <c r="F6" s="9">
        <v>82890</v>
      </c>
      <c r="G6" s="9">
        <v>153182</v>
      </c>
      <c r="H6" s="9"/>
      <c r="I6" s="9"/>
      <c r="J6" s="9">
        <v>329433</v>
      </c>
      <c r="K6" s="9">
        <v>61034</v>
      </c>
      <c r="L6" s="9">
        <v>846510</v>
      </c>
      <c r="M6" s="9">
        <v>211477</v>
      </c>
      <c r="N6" s="9">
        <v>-379</v>
      </c>
      <c r="O6" s="9">
        <v>115454</v>
      </c>
      <c r="P6" s="9">
        <v>23368</v>
      </c>
      <c r="Q6" s="9"/>
      <c r="R6" s="9">
        <v>3965515.0659999978</v>
      </c>
      <c r="S6" s="9">
        <v>19593687</v>
      </c>
      <c r="T6" s="9">
        <v>5554334</v>
      </c>
      <c r="U6" s="9">
        <v>10436</v>
      </c>
      <c r="V6" s="9">
        <v>677042</v>
      </c>
      <c r="W6" s="9"/>
      <c r="X6" s="9">
        <v>116832</v>
      </c>
      <c r="Y6" s="9">
        <v>692660</v>
      </c>
      <c r="Z6" s="9">
        <v>57243</v>
      </c>
      <c r="AA6" s="9"/>
      <c r="AB6" s="9">
        <v>271597</v>
      </c>
      <c r="AC6" s="9">
        <v>8747535</v>
      </c>
      <c r="AD6" s="9">
        <v>152279</v>
      </c>
      <c r="AE6" s="9">
        <f>SUM(B6:AD6)</f>
        <v>42212455.066</v>
      </c>
    </row>
    <row r="7" spans="1:31" x14ac:dyDescent="0.25">
      <c r="A7" s="13"/>
    </row>
    <row r="8" spans="1:31" x14ac:dyDescent="0.25">
      <c r="A8" s="29" t="s">
        <v>227</v>
      </c>
    </row>
    <row r="9" spans="1:31" x14ac:dyDescent="0.25">
      <c r="A9" s="3" t="s">
        <v>0</v>
      </c>
      <c r="B9" s="65" t="s">
        <v>1</v>
      </c>
      <c r="C9" s="65" t="s">
        <v>2</v>
      </c>
      <c r="D9" s="65" t="s">
        <v>3</v>
      </c>
      <c r="E9" s="65" t="s">
        <v>4</v>
      </c>
      <c r="F9" s="65" t="s">
        <v>5</v>
      </c>
      <c r="G9" s="65" t="s">
        <v>6</v>
      </c>
      <c r="H9" s="65" t="s">
        <v>7</v>
      </c>
      <c r="I9" s="65" t="s">
        <v>8</v>
      </c>
      <c r="J9" s="65" t="s">
        <v>9</v>
      </c>
      <c r="K9" s="65" t="s">
        <v>10</v>
      </c>
      <c r="L9" s="65" t="s">
        <v>11</v>
      </c>
      <c r="M9" s="65" t="s">
        <v>12</v>
      </c>
      <c r="N9" s="65" t="s">
        <v>13</v>
      </c>
      <c r="O9" s="65" t="s">
        <v>14</v>
      </c>
      <c r="P9" s="65" t="s">
        <v>15</v>
      </c>
      <c r="Q9" s="65" t="s">
        <v>16</v>
      </c>
      <c r="R9" s="65" t="s">
        <v>17</v>
      </c>
      <c r="S9" s="65" t="s">
        <v>18</v>
      </c>
      <c r="T9" s="65" t="s">
        <v>19</v>
      </c>
      <c r="U9" s="65" t="s">
        <v>20</v>
      </c>
      <c r="V9" s="65" t="s">
        <v>21</v>
      </c>
      <c r="W9" s="65" t="s">
        <v>22</v>
      </c>
      <c r="X9" s="65" t="s">
        <v>23</v>
      </c>
      <c r="Y9" s="65" t="s">
        <v>24</v>
      </c>
      <c r="Z9" s="65" t="s">
        <v>25</v>
      </c>
      <c r="AA9" s="65" t="s">
        <v>26</v>
      </c>
      <c r="AB9" s="65" t="s">
        <v>27</v>
      </c>
      <c r="AC9" s="64" t="s">
        <v>28</v>
      </c>
      <c r="AD9" s="65" t="s">
        <v>29</v>
      </c>
      <c r="AE9" s="40" t="s">
        <v>30</v>
      </c>
    </row>
    <row r="10" spans="1:31" x14ac:dyDescent="0.25">
      <c r="A10" s="22" t="s">
        <v>238</v>
      </c>
      <c r="B10" s="9"/>
      <c r="C10" s="9"/>
      <c r="D10" s="9"/>
      <c r="E10" s="9">
        <v>935361</v>
      </c>
      <c r="F10" s="9">
        <v>3678456</v>
      </c>
      <c r="G10" s="9">
        <v>558008</v>
      </c>
      <c r="H10" s="9"/>
      <c r="I10" s="9"/>
      <c r="J10" s="9">
        <v>415237</v>
      </c>
      <c r="K10" s="9">
        <v>105982</v>
      </c>
      <c r="L10" s="9">
        <v>2088930</v>
      </c>
      <c r="M10" s="9">
        <v>770727</v>
      </c>
      <c r="N10" s="9"/>
      <c r="O10" s="9">
        <v>64922</v>
      </c>
      <c r="P10" s="9">
        <v>124861</v>
      </c>
      <c r="Q10" s="9"/>
      <c r="R10" s="9">
        <v>1539938.8219999999</v>
      </c>
      <c r="S10" s="9">
        <v>4203888</v>
      </c>
      <c r="T10" s="9">
        <v>2122325</v>
      </c>
      <c r="U10" s="9"/>
      <c r="V10" s="9">
        <v>428072</v>
      </c>
      <c r="W10" s="9"/>
      <c r="X10" s="9">
        <v>207508</v>
      </c>
      <c r="Y10" s="9">
        <v>145223</v>
      </c>
      <c r="Z10" s="9">
        <v>14942</v>
      </c>
      <c r="AA10" s="9"/>
      <c r="AB10" s="9">
        <v>1807887</v>
      </c>
      <c r="AC10" s="9">
        <v>3060726</v>
      </c>
      <c r="AD10" s="9">
        <v>193531</v>
      </c>
      <c r="AE10" s="9">
        <f>SUM(B10:AD10)</f>
        <v>22466524.822000001</v>
      </c>
    </row>
    <row r="11" spans="1:31" x14ac:dyDescent="0.25">
      <c r="A11" s="22" t="s">
        <v>283</v>
      </c>
      <c r="B11" s="9"/>
      <c r="C11" s="9"/>
      <c r="D11" s="9"/>
      <c r="E11" s="9">
        <v>566707</v>
      </c>
      <c r="F11" s="9">
        <v>129822</v>
      </c>
      <c r="G11" s="9">
        <v>59270</v>
      </c>
      <c r="H11" s="9"/>
      <c r="I11" s="9"/>
      <c r="J11" s="9">
        <v>305998</v>
      </c>
      <c r="K11" s="9">
        <v>47075</v>
      </c>
      <c r="L11" s="9">
        <v>1612373</v>
      </c>
      <c r="M11" s="9">
        <v>384063</v>
      </c>
      <c r="N11" s="9"/>
      <c r="O11" s="9">
        <v>59267</v>
      </c>
      <c r="P11" s="9">
        <v>20948</v>
      </c>
      <c r="Q11" s="9"/>
      <c r="R11" s="9">
        <v>1170928.8750000002</v>
      </c>
      <c r="S11" s="9">
        <v>3493418</v>
      </c>
      <c r="T11" s="9">
        <v>2099635</v>
      </c>
      <c r="U11" s="9">
        <v>-49</v>
      </c>
      <c r="V11" s="9">
        <v>184029</v>
      </c>
      <c r="W11" s="9"/>
      <c r="X11" s="9">
        <v>74476</v>
      </c>
      <c r="Y11" s="9">
        <v>137945</v>
      </c>
      <c r="Z11" s="9">
        <v>12118</v>
      </c>
      <c r="AA11" s="9"/>
      <c r="AB11" s="9">
        <v>1493573</v>
      </c>
      <c r="AC11" s="9">
        <v>1860023</v>
      </c>
      <c r="AD11" s="9">
        <v>29044</v>
      </c>
      <c r="AE11" s="9">
        <f>SUM(B11:AD11)</f>
        <v>13740663.875</v>
      </c>
    </row>
    <row r="12" spans="1:31" x14ac:dyDescent="0.25">
      <c r="A12" s="13"/>
    </row>
    <row r="13" spans="1:31" x14ac:dyDescent="0.25">
      <c r="A13" s="29" t="s">
        <v>228</v>
      </c>
    </row>
    <row r="14" spans="1:31" x14ac:dyDescent="0.25">
      <c r="A14" s="3" t="s">
        <v>0</v>
      </c>
      <c r="B14" s="65" t="s">
        <v>1</v>
      </c>
      <c r="C14" s="65" t="s">
        <v>2</v>
      </c>
      <c r="D14" s="65" t="s">
        <v>3</v>
      </c>
      <c r="E14" s="65" t="s">
        <v>4</v>
      </c>
      <c r="F14" s="65" t="s">
        <v>5</v>
      </c>
      <c r="G14" s="65" t="s">
        <v>6</v>
      </c>
      <c r="H14" s="65" t="s">
        <v>7</v>
      </c>
      <c r="I14" s="65" t="s">
        <v>8</v>
      </c>
      <c r="J14" s="65" t="s">
        <v>9</v>
      </c>
      <c r="K14" s="65" t="s">
        <v>10</v>
      </c>
      <c r="L14" s="65" t="s">
        <v>11</v>
      </c>
      <c r="M14" s="65" t="s">
        <v>12</v>
      </c>
      <c r="N14" s="65" t="s">
        <v>13</v>
      </c>
      <c r="O14" s="65" t="s">
        <v>14</v>
      </c>
      <c r="P14" s="65" t="s">
        <v>15</v>
      </c>
      <c r="Q14" s="65" t="s">
        <v>16</v>
      </c>
      <c r="R14" s="65" t="s">
        <v>17</v>
      </c>
      <c r="S14" s="65" t="s">
        <v>18</v>
      </c>
      <c r="T14" s="65" t="s">
        <v>19</v>
      </c>
      <c r="U14" s="65" t="s">
        <v>20</v>
      </c>
      <c r="V14" s="65" t="s">
        <v>21</v>
      </c>
      <c r="W14" s="65" t="s">
        <v>22</v>
      </c>
      <c r="X14" s="65" t="s">
        <v>23</v>
      </c>
      <c r="Y14" s="65" t="s">
        <v>24</v>
      </c>
      <c r="Z14" s="65" t="s">
        <v>25</v>
      </c>
      <c r="AA14" s="65" t="s">
        <v>26</v>
      </c>
      <c r="AB14" s="65" t="s">
        <v>27</v>
      </c>
      <c r="AC14" s="64" t="s">
        <v>28</v>
      </c>
      <c r="AD14" s="65" t="s">
        <v>29</v>
      </c>
      <c r="AE14" s="40" t="s">
        <v>30</v>
      </c>
    </row>
    <row r="15" spans="1:31" x14ac:dyDescent="0.25">
      <c r="A15" s="22" t="s">
        <v>238</v>
      </c>
      <c r="B15" s="9"/>
      <c r="C15" s="9"/>
      <c r="D15" s="9"/>
      <c r="E15" s="9">
        <v>17448338</v>
      </c>
      <c r="F15" s="9">
        <v>7528031</v>
      </c>
      <c r="G15" s="9">
        <v>10805922</v>
      </c>
      <c r="H15" s="9"/>
      <c r="I15" s="9"/>
      <c r="J15" s="9">
        <f>4278869+1120138</f>
        <v>5399007</v>
      </c>
      <c r="K15" s="9">
        <f>283388+1348074</f>
        <v>1631462</v>
      </c>
      <c r="L15" s="9">
        <v>24585509</v>
      </c>
      <c r="M15" s="9">
        <v>1534844</v>
      </c>
      <c r="N15" s="9">
        <v>59321</v>
      </c>
      <c r="O15" s="9">
        <f>1325580+75680</f>
        <v>1401260</v>
      </c>
      <c r="P15" s="9">
        <v>1764724</v>
      </c>
      <c r="Q15" s="9"/>
      <c r="R15" s="9">
        <v>40245651.033000007</v>
      </c>
      <c r="S15" s="9">
        <v>56000382</v>
      </c>
      <c r="T15" s="9">
        <v>26193828</v>
      </c>
      <c r="U15" s="9">
        <f>161+1662</f>
        <v>1823</v>
      </c>
      <c r="V15" s="9">
        <v>12003832</v>
      </c>
      <c r="W15" s="9"/>
      <c r="X15" s="9">
        <v>9927479</v>
      </c>
      <c r="Y15" s="9">
        <v>5293337</v>
      </c>
      <c r="Z15" s="9">
        <v>14163919</v>
      </c>
      <c r="AA15" s="9"/>
      <c r="AB15" s="9">
        <v>9513542</v>
      </c>
      <c r="AC15" s="9">
        <v>32568439</v>
      </c>
      <c r="AD15" s="9">
        <f>1874907+931122</f>
        <v>2806029</v>
      </c>
      <c r="AE15" s="9">
        <f>SUM(B15:AD15)</f>
        <v>280876679.03299999</v>
      </c>
    </row>
    <row r="16" spans="1:31" x14ac:dyDescent="0.25">
      <c r="A16" s="22" t="s">
        <v>283</v>
      </c>
      <c r="B16" s="9"/>
      <c r="C16" s="9"/>
      <c r="D16" s="9"/>
      <c r="E16" s="9">
        <v>21997543</v>
      </c>
      <c r="F16" s="9">
        <v>8943890</v>
      </c>
      <c r="G16" s="9">
        <v>14666292</v>
      </c>
      <c r="H16" s="9"/>
      <c r="I16" s="9"/>
      <c r="J16" s="9">
        <f>2698752+3136581-95985</f>
        <v>5739348</v>
      </c>
      <c r="K16" s="9">
        <f>1229354-2652+1149961</f>
        <v>2376663</v>
      </c>
      <c r="L16" s="9">
        <v>27934286</v>
      </c>
      <c r="M16" s="9">
        <v>19410329</v>
      </c>
      <c r="N16" s="9">
        <v>222150</v>
      </c>
      <c r="O16" s="9">
        <f>1333136+1128877</f>
        <v>2462013</v>
      </c>
      <c r="P16" s="9">
        <v>2434028</v>
      </c>
      <c r="Q16" s="9"/>
      <c r="R16" s="9">
        <v>42640075.46200002</v>
      </c>
      <c r="S16" s="9">
        <v>64256448</v>
      </c>
      <c r="T16" s="9">
        <v>43703304</v>
      </c>
      <c r="U16" s="9">
        <f>716+156959</f>
        <v>157675</v>
      </c>
      <c r="V16" s="9">
        <v>13256445</v>
      </c>
      <c r="W16" s="9"/>
      <c r="X16" s="9">
        <v>11798097</v>
      </c>
      <c r="Y16" s="9">
        <v>6894257</v>
      </c>
      <c r="Z16" s="9">
        <v>16918848</v>
      </c>
      <c r="AA16" s="9"/>
      <c r="AB16" s="9">
        <v>12130936</v>
      </c>
      <c r="AC16" s="9">
        <v>45844729</v>
      </c>
      <c r="AD16" s="9">
        <f>1625275+1198109</f>
        <v>2823384</v>
      </c>
      <c r="AE16" s="9">
        <f>SUM(B16:AD16)</f>
        <v>366610740.46200001</v>
      </c>
    </row>
    <row r="17" spans="1:31" x14ac:dyDescent="0.25">
      <c r="A17" s="13"/>
    </row>
    <row r="18" spans="1:31" x14ac:dyDescent="0.25">
      <c r="A18" s="29" t="s">
        <v>229</v>
      </c>
    </row>
    <row r="19" spans="1:31" x14ac:dyDescent="0.25">
      <c r="A19" s="3" t="s">
        <v>0</v>
      </c>
      <c r="B19" s="65" t="s">
        <v>1</v>
      </c>
      <c r="C19" s="65" t="s">
        <v>2</v>
      </c>
      <c r="D19" s="65" t="s">
        <v>3</v>
      </c>
      <c r="E19" s="65" t="s">
        <v>4</v>
      </c>
      <c r="F19" s="65" t="s">
        <v>5</v>
      </c>
      <c r="G19" s="65" t="s">
        <v>6</v>
      </c>
      <c r="H19" s="65" t="s">
        <v>7</v>
      </c>
      <c r="I19" s="65" t="s">
        <v>8</v>
      </c>
      <c r="J19" s="65" t="s">
        <v>9</v>
      </c>
      <c r="K19" s="65" t="s">
        <v>10</v>
      </c>
      <c r="L19" s="65" t="s">
        <v>11</v>
      </c>
      <c r="M19" s="65" t="s">
        <v>12</v>
      </c>
      <c r="N19" s="65" t="s">
        <v>13</v>
      </c>
      <c r="O19" s="65" t="s">
        <v>14</v>
      </c>
      <c r="P19" s="65" t="s">
        <v>15</v>
      </c>
      <c r="Q19" s="65" t="s">
        <v>16</v>
      </c>
      <c r="R19" s="65" t="s">
        <v>17</v>
      </c>
      <c r="S19" s="65" t="s">
        <v>18</v>
      </c>
      <c r="T19" s="65" t="s">
        <v>19</v>
      </c>
      <c r="U19" s="65" t="s">
        <v>20</v>
      </c>
      <c r="V19" s="65" t="s">
        <v>21</v>
      </c>
      <c r="W19" s="65" t="s">
        <v>22</v>
      </c>
      <c r="X19" s="65" t="s">
        <v>23</v>
      </c>
      <c r="Y19" s="65" t="s">
        <v>24</v>
      </c>
      <c r="Z19" s="65" t="s">
        <v>25</v>
      </c>
      <c r="AA19" s="65" t="s">
        <v>26</v>
      </c>
      <c r="AB19" s="65" t="s">
        <v>27</v>
      </c>
      <c r="AC19" s="64" t="s">
        <v>28</v>
      </c>
      <c r="AD19" s="65" t="s">
        <v>29</v>
      </c>
      <c r="AE19" s="40" t="s">
        <v>30</v>
      </c>
    </row>
    <row r="20" spans="1:31" x14ac:dyDescent="0.25">
      <c r="A20" s="22" t="s">
        <v>238</v>
      </c>
      <c r="B20" s="9"/>
      <c r="C20" s="9"/>
      <c r="D20" s="9"/>
      <c r="E20" s="9">
        <v>522898</v>
      </c>
      <c r="F20" s="9">
        <v>135434</v>
      </c>
      <c r="G20" s="9">
        <v>86134</v>
      </c>
      <c r="H20" s="9"/>
      <c r="I20" s="9"/>
      <c r="J20" s="9">
        <v>160963</v>
      </c>
      <c r="K20" s="9">
        <v>146173</v>
      </c>
      <c r="L20" s="9">
        <v>821140</v>
      </c>
      <c r="M20" s="9">
        <v>302550</v>
      </c>
      <c r="N20" s="9"/>
      <c r="O20" s="9">
        <v>60515</v>
      </c>
      <c r="P20" s="9">
        <v>34476</v>
      </c>
      <c r="Q20" s="9"/>
      <c r="R20" s="9">
        <v>2064086.4920000001</v>
      </c>
      <c r="S20" s="9">
        <v>2265418</v>
      </c>
      <c r="T20" s="9">
        <v>1677660</v>
      </c>
      <c r="U20" s="9"/>
      <c r="V20" s="9">
        <v>280518</v>
      </c>
      <c r="W20" s="9"/>
      <c r="X20" s="9">
        <v>163927</v>
      </c>
      <c r="Y20" s="9">
        <v>51980</v>
      </c>
      <c r="Z20" s="9">
        <v>19907</v>
      </c>
      <c r="AA20" s="9"/>
      <c r="AB20" s="9">
        <v>717418</v>
      </c>
      <c r="AC20" s="9">
        <v>3086643</v>
      </c>
      <c r="AD20" s="9">
        <v>55793</v>
      </c>
      <c r="AE20" s="9">
        <f>SUM(B20:AD20)</f>
        <v>12653633.492000001</v>
      </c>
    </row>
    <row r="21" spans="1:31" x14ac:dyDescent="0.25">
      <c r="A21" s="22" t="s">
        <v>283</v>
      </c>
      <c r="B21" s="9"/>
      <c r="C21" s="9"/>
      <c r="D21" s="9"/>
      <c r="E21" s="9">
        <v>43620</v>
      </c>
      <c r="F21" s="9">
        <v>41610</v>
      </c>
      <c r="G21" s="9">
        <v>20440</v>
      </c>
      <c r="H21" s="9"/>
      <c r="I21" s="9"/>
      <c r="J21" s="9">
        <v>43311</v>
      </c>
      <c r="K21" s="9">
        <v>84628</v>
      </c>
      <c r="L21" s="9">
        <v>350567</v>
      </c>
      <c r="M21" s="9">
        <v>68719</v>
      </c>
      <c r="N21" s="9">
        <v>239</v>
      </c>
      <c r="O21" s="9">
        <v>36223</v>
      </c>
      <c r="P21" s="9">
        <v>15795</v>
      </c>
      <c r="Q21" s="9"/>
      <c r="R21" s="9">
        <v>1480745.3639999991</v>
      </c>
      <c r="S21" s="9">
        <v>2617278</v>
      </c>
      <c r="T21" s="9">
        <v>1274323</v>
      </c>
      <c r="U21" s="9">
        <v>-267</v>
      </c>
      <c r="V21" s="9">
        <v>65325</v>
      </c>
      <c r="W21" s="9"/>
      <c r="X21" s="9">
        <v>20335</v>
      </c>
      <c r="Y21" s="9">
        <v>14102</v>
      </c>
      <c r="Z21" s="9">
        <v>14371</v>
      </c>
      <c r="AA21" s="9"/>
      <c r="AB21" s="9">
        <v>73724</v>
      </c>
      <c r="AC21" s="9">
        <v>1775183</v>
      </c>
      <c r="AD21" s="9">
        <v>-3973</v>
      </c>
      <c r="AE21" s="9">
        <f>SUM(B21:AD21)</f>
        <v>8036298.3639999991</v>
      </c>
    </row>
    <row r="22" spans="1:31" x14ac:dyDescent="0.25">
      <c r="A22" s="13"/>
    </row>
    <row r="23" spans="1:31" x14ac:dyDescent="0.25">
      <c r="A23" s="29" t="s">
        <v>230</v>
      </c>
    </row>
    <row r="24" spans="1:31" x14ac:dyDescent="0.25">
      <c r="A24" s="3" t="s">
        <v>0</v>
      </c>
      <c r="B24" s="65" t="s">
        <v>1</v>
      </c>
      <c r="C24" s="65" t="s">
        <v>2</v>
      </c>
      <c r="D24" s="65" t="s">
        <v>3</v>
      </c>
      <c r="E24" s="65" t="s">
        <v>4</v>
      </c>
      <c r="F24" s="65" t="s">
        <v>5</v>
      </c>
      <c r="G24" s="65" t="s">
        <v>6</v>
      </c>
      <c r="H24" s="65" t="s">
        <v>7</v>
      </c>
      <c r="I24" s="65" t="s">
        <v>8</v>
      </c>
      <c r="J24" s="65" t="s">
        <v>9</v>
      </c>
      <c r="K24" s="65" t="s">
        <v>10</v>
      </c>
      <c r="L24" s="65" t="s">
        <v>11</v>
      </c>
      <c r="M24" s="65" t="s">
        <v>12</v>
      </c>
      <c r="N24" s="65" t="s">
        <v>13</v>
      </c>
      <c r="O24" s="65" t="s">
        <v>14</v>
      </c>
      <c r="P24" s="65" t="s">
        <v>15</v>
      </c>
      <c r="Q24" s="65" t="s">
        <v>16</v>
      </c>
      <c r="R24" s="65" t="s">
        <v>17</v>
      </c>
      <c r="S24" s="65" t="s">
        <v>18</v>
      </c>
      <c r="T24" s="65" t="s">
        <v>19</v>
      </c>
      <c r="U24" s="65" t="s">
        <v>20</v>
      </c>
      <c r="V24" s="65" t="s">
        <v>21</v>
      </c>
      <c r="W24" s="65" t="s">
        <v>22</v>
      </c>
      <c r="X24" s="65" t="s">
        <v>23</v>
      </c>
      <c r="Y24" s="65" t="s">
        <v>24</v>
      </c>
      <c r="Z24" s="65" t="s">
        <v>25</v>
      </c>
      <c r="AA24" s="65" t="s">
        <v>26</v>
      </c>
      <c r="AB24" s="65" t="s">
        <v>27</v>
      </c>
      <c r="AC24" s="64" t="s">
        <v>28</v>
      </c>
      <c r="AD24" s="65" t="s">
        <v>29</v>
      </c>
      <c r="AE24" s="40" t="s">
        <v>30</v>
      </c>
    </row>
    <row r="25" spans="1:31" x14ac:dyDescent="0.25">
      <c r="A25" s="22" t="s">
        <v>238</v>
      </c>
      <c r="B25" s="9">
        <v>82323</v>
      </c>
      <c r="C25" s="9"/>
      <c r="D25" s="9">
        <v>7136267</v>
      </c>
      <c r="E25" s="9">
        <v>7323224</v>
      </c>
      <c r="F25" s="9">
        <v>628420</v>
      </c>
      <c r="G25" s="9">
        <v>772819</v>
      </c>
      <c r="H25" s="9">
        <v>841608</v>
      </c>
      <c r="I25" s="9"/>
      <c r="J25" s="9">
        <v>1508170</v>
      </c>
      <c r="K25" s="9">
        <v>308223</v>
      </c>
      <c r="L25" s="9">
        <v>11545559</v>
      </c>
      <c r="M25" s="9">
        <v>5015568</v>
      </c>
      <c r="N25" s="9">
        <v>9274</v>
      </c>
      <c r="O25" s="9">
        <v>489777</v>
      </c>
      <c r="P25" s="9"/>
      <c r="Q25" s="9">
        <v>2936658</v>
      </c>
      <c r="R25" s="9">
        <v>53041132.766000003</v>
      </c>
      <c r="S25" s="9">
        <v>64948593</v>
      </c>
      <c r="T25" s="9">
        <v>35062145</v>
      </c>
      <c r="U25" s="9"/>
      <c r="V25" s="9">
        <v>3495269</v>
      </c>
      <c r="W25" s="9">
        <v>2348196.7000000002</v>
      </c>
      <c r="X25" s="9">
        <v>1356552</v>
      </c>
      <c r="Y25" s="9">
        <v>871671</v>
      </c>
      <c r="Z25" s="9"/>
      <c r="AA25" s="9"/>
      <c r="AB25" s="9">
        <v>1452234</v>
      </c>
      <c r="AC25" s="9">
        <v>61553761</v>
      </c>
      <c r="AD25" s="9">
        <v>1074903</v>
      </c>
      <c r="AE25" s="9">
        <f>SUM(B25:AD25)</f>
        <v>263802347.46599999</v>
      </c>
    </row>
    <row r="26" spans="1:31" x14ac:dyDescent="0.25">
      <c r="A26" s="22" t="s">
        <v>283</v>
      </c>
      <c r="B26" s="9">
        <v>147746</v>
      </c>
      <c r="C26" s="9"/>
      <c r="D26" s="9">
        <v>5934747</v>
      </c>
      <c r="E26" s="9">
        <v>7241204</v>
      </c>
      <c r="F26" s="9">
        <v>535510</v>
      </c>
      <c r="G26" s="9">
        <v>680336</v>
      </c>
      <c r="H26" s="9">
        <v>848733</v>
      </c>
      <c r="I26" s="9"/>
      <c r="J26" s="9">
        <v>1077737</v>
      </c>
      <c r="K26" s="9">
        <v>257463</v>
      </c>
      <c r="L26" s="9">
        <v>11301090</v>
      </c>
      <c r="M26" s="9">
        <v>4965282</v>
      </c>
      <c r="N26" s="9">
        <v>16801</v>
      </c>
      <c r="O26" s="9">
        <v>491316</v>
      </c>
      <c r="P26" s="9">
        <v>-1</v>
      </c>
      <c r="Q26" s="9">
        <v>2820210</v>
      </c>
      <c r="R26" s="9">
        <v>47875065.229000002</v>
      </c>
      <c r="S26" s="9">
        <v>60675535</v>
      </c>
      <c r="T26" s="9">
        <v>34355350</v>
      </c>
      <c r="U26" s="9">
        <v>144</v>
      </c>
      <c r="V26" s="9">
        <v>2735375</v>
      </c>
      <c r="W26" s="9">
        <v>2231068.7999999998</v>
      </c>
      <c r="X26" s="9">
        <v>1252201</v>
      </c>
      <c r="Y26" s="9">
        <v>1091602</v>
      </c>
      <c r="Z26" s="9"/>
      <c r="AA26" s="9"/>
      <c r="AB26" s="9">
        <v>1423266</v>
      </c>
      <c r="AC26" s="9">
        <v>61442595</v>
      </c>
      <c r="AD26" s="9">
        <v>655712</v>
      </c>
      <c r="AE26" s="9">
        <f>SUM(B26:AD26)</f>
        <v>250056088.02900001</v>
      </c>
    </row>
    <row r="27" spans="1:31" x14ac:dyDescent="0.25">
      <c r="A27" s="13"/>
    </row>
    <row r="28" spans="1:31" x14ac:dyDescent="0.25">
      <c r="A28" s="29" t="s">
        <v>231</v>
      </c>
    </row>
    <row r="29" spans="1:31" x14ac:dyDescent="0.25">
      <c r="A29" s="3" t="s">
        <v>0</v>
      </c>
      <c r="B29" s="65" t="s">
        <v>1</v>
      </c>
      <c r="C29" s="65" t="s">
        <v>2</v>
      </c>
      <c r="D29" s="65" t="s">
        <v>3</v>
      </c>
      <c r="E29" s="65" t="s">
        <v>4</v>
      </c>
      <c r="F29" s="65" t="s">
        <v>5</v>
      </c>
      <c r="G29" s="65" t="s">
        <v>6</v>
      </c>
      <c r="H29" s="65" t="s">
        <v>7</v>
      </c>
      <c r="I29" s="65" t="s">
        <v>8</v>
      </c>
      <c r="J29" s="65" t="s">
        <v>9</v>
      </c>
      <c r="K29" s="65" t="s">
        <v>10</v>
      </c>
      <c r="L29" s="65" t="s">
        <v>11</v>
      </c>
      <c r="M29" s="65" t="s">
        <v>12</v>
      </c>
      <c r="N29" s="65" t="s">
        <v>13</v>
      </c>
      <c r="O29" s="65" t="s">
        <v>14</v>
      </c>
      <c r="P29" s="65" t="s">
        <v>15</v>
      </c>
      <c r="Q29" s="65" t="s">
        <v>16</v>
      </c>
      <c r="R29" s="65" t="s">
        <v>17</v>
      </c>
      <c r="S29" s="65" t="s">
        <v>18</v>
      </c>
      <c r="T29" s="65" t="s">
        <v>19</v>
      </c>
      <c r="U29" s="65" t="s">
        <v>20</v>
      </c>
      <c r="V29" s="65" t="s">
        <v>21</v>
      </c>
      <c r="W29" s="65" t="s">
        <v>22</v>
      </c>
      <c r="X29" s="65" t="s">
        <v>23</v>
      </c>
      <c r="Y29" s="65" t="s">
        <v>24</v>
      </c>
      <c r="Z29" s="65" t="s">
        <v>25</v>
      </c>
      <c r="AA29" s="65" t="s">
        <v>26</v>
      </c>
      <c r="AB29" s="65" t="s">
        <v>27</v>
      </c>
      <c r="AC29" s="64" t="s">
        <v>28</v>
      </c>
      <c r="AD29" s="65" t="s">
        <v>29</v>
      </c>
      <c r="AE29" s="40" t="s">
        <v>30</v>
      </c>
    </row>
    <row r="30" spans="1:31" x14ac:dyDescent="0.25">
      <c r="A30" s="22" t="s">
        <v>238</v>
      </c>
      <c r="B30" s="9">
        <v>4</v>
      </c>
      <c r="C30" s="9"/>
      <c r="D30" s="9">
        <v>94252</v>
      </c>
      <c r="E30" s="9">
        <v>544740</v>
      </c>
      <c r="F30" s="9">
        <v>117955</v>
      </c>
      <c r="G30" s="9">
        <v>402936</v>
      </c>
      <c r="H30" s="9">
        <v>4990</v>
      </c>
      <c r="I30" s="9"/>
      <c r="J30" s="9">
        <v>264840</v>
      </c>
      <c r="K30" s="9">
        <v>15874</v>
      </c>
      <c r="L30" s="9">
        <v>584055</v>
      </c>
      <c r="M30" s="9">
        <v>384914</v>
      </c>
      <c r="N30" s="9"/>
      <c r="O30" s="9">
        <v>72547</v>
      </c>
      <c r="P30" s="9">
        <v>27611</v>
      </c>
      <c r="Q30" s="9">
        <v>400</v>
      </c>
      <c r="R30" s="9">
        <v>2642826.3509999998</v>
      </c>
      <c r="S30" s="9">
        <v>2037878</v>
      </c>
      <c r="T30" s="9">
        <v>2127725</v>
      </c>
      <c r="U30" s="9">
        <v>2948</v>
      </c>
      <c r="V30" s="9">
        <v>519981</v>
      </c>
      <c r="W30" s="9">
        <v>124457.7</v>
      </c>
      <c r="X30" s="9">
        <v>151697</v>
      </c>
      <c r="Y30" s="9">
        <v>1513845</v>
      </c>
      <c r="Z30" s="9">
        <v>20387</v>
      </c>
      <c r="AA30" s="9"/>
      <c r="AB30" s="9">
        <v>710307</v>
      </c>
      <c r="AC30" s="9">
        <v>2127970</v>
      </c>
      <c r="AD30" s="9">
        <v>190754</v>
      </c>
      <c r="AE30" s="9">
        <f>SUM(B30:AD30)</f>
        <v>14685894.050999999</v>
      </c>
    </row>
    <row r="31" spans="1:31" x14ac:dyDescent="0.25">
      <c r="A31" s="22" t="s">
        <v>283</v>
      </c>
      <c r="B31" s="9">
        <v>1486</v>
      </c>
      <c r="C31" s="9"/>
      <c r="D31" s="9">
        <v>74748</v>
      </c>
      <c r="E31" s="9">
        <v>726395</v>
      </c>
      <c r="F31" s="9">
        <v>92018</v>
      </c>
      <c r="G31" s="9">
        <v>409361</v>
      </c>
      <c r="H31" s="9">
        <v>26265</v>
      </c>
      <c r="I31" s="9"/>
      <c r="J31" s="9">
        <v>298206</v>
      </c>
      <c r="K31" s="9">
        <v>9541</v>
      </c>
      <c r="L31" s="9">
        <v>745955</v>
      </c>
      <c r="M31" s="9">
        <v>388068</v>
      </c>
      <c r="N31" s="9">
        <v>1332</v>
      </c>
      <c r="O31" s="9">
        <v>54523</v>
      </c>
      <c r="P31" s="9">
        <v>29494</v>
      </c>
      <c r="Q31" s="9">
        <v>7910</v>
      </c>
      <c r="R31" s="9">
        <v>2929544.7989999992</v>
      </c>
      <c r="S31" s="9">
        <v>2421283</v>
      </c>
      <c r="T31" s="9">
        <v>2408702</v>
      </c>
      <c r="U31" s="9">
        <v>989</v>
      </c>
      <c r="V31" s="9">
        <v>547525</v>
      </c>
      <c r="W31" s="9">
        <v>110373.9</v>
      </c>
      <c r="X31" s="9">
        <v>152396</v>
      </c>
      <c r="Y31" s="9">
        <v>1838375</v>
      </c>
      <c r="Z31" s="9">
        <v>8556</v>
      </c>
      <c r="AA31" s="9"/>
      <c r="AB31" s="9">
        <v>544152</v>
      </c>
      <c r="AC31" s="9">
        <v>1939814</v>
      </c>
      <c r="AD31" s="9">
        <v>189034</v>
      </c>
      <c r="AE31" s="9">
        <f>SUM(B31:AD31)</f>
        <v>15956046.698999999</v>
      </c>
    </row>
    <row r="32" spans="1:31" x14ac:dyDescent="0.25">
      <c r="A32" s="13"/>
    </row>
    <row r="33" spans="1:31" x14ac:dyDescent="0.25">
      <c r="A33" s="29" t="s">
        <v>232</v>
      </c>
    </row>
    <row r="34" spans="1:31" x14ac:dyDescent="0.25">
      <c r="A34" s="3" t="s">
        <v>0</v>
      </c>
      <c r="B34" s="65" t="s">
        <v>1</v>
      </c>
      <c r="C34" s="65" t="s">
        <v>2</v>
      </c>
      <c r="D34" s="65" t="s">
        <v>3</v>
      </c>
      <c r="E34" s="65" t="s">
        <v>4</v>
      </c>
      <c r="F34" s="65" t="s">
        <v>5</v>
      </c>
      <c r="G34" s="65" t="s">
        <v>6</v>
      </c>
      <c r="H34" s="65" t="s">
        <v>7</v>
      </c>
      <c r="I34" s="65" t="s">
        <v>8</v>
      </c>
      <c r="J34" s="65" t="s">
        <v>9</v>
      </c>
      <c r="K34" s="65" t="s">
        <v>10</v>
      </c>
      <c r="L34" s="65" t="s">
        <v>11</v>
      </c>
      <c r="M34" s="65" t="s">
        <v>12</v>
      </c>
      <c r="N34" s="65" t="s">
        <v>13</v>
      </c>
      <c r="O34" s="65" t="s">
        <v>14</v>
      </c>
      <c r="P34" s="65" t="s">
        <v>15</v>
      </c>
      <c r="Q34" s="65" t="s">
        <v>16</v>
      </c>
      <c r="R34" s="65" t="s">
        <v>17</v>
      </c>
      <c r="S34" s="65" t="s">
        <v>18</v>
      </c>
      <c r="T34" s="65" t="s">
        <v>19</v>
      </c>
      <c r="U34" s="65" t="s">
        <v>20</v>
      </c>
      <c r="V34" s="65" t="s">
        <v>21</v>
      </c>
      <c r="W34" s="65" t="s">
        <v>22</v>
      </c>
      <c r="X34" s="65" t="s">
        <v>23</v>
      </c>
      <c r="Y34" s="65" t="s">
        <v>24</v>
      </c>
      <c r="Z34" s="65" t="s">
        <v>25</v>
      </c>
      <c r="AA34" s="65" t="s">
        <v>26</v>
      </c>
      <c r="AB34" s="65" t="s">
        <v>27</v>
      </c>
      <c r="AC34" s="64" t="s">
        <v>28</v>
      </c>
      <c r="AD34" s="65" t="s">
        <v>29</v>
      </c>
      <c r="AE34" s="40" t="s">
        <v>30</v>
      </c>
    </row>
    <row r="35" spans="1:31" x14ac:dyDescent="0.25">
      <c r="A35" s="22" t="s">
        <v>238</v>
      </c>
      <c r="B35" s="9"/>
      <c r="C35" s="9"/>
      <c r="D35" s="9"/>
      <c r="E35" s="9">
        <v>7045</v>
      </c>
      <c r="F35" s="9">
        <v>3160</v>
      </c>
      <c r="G35" s="9">
        <v>21447</v>
      </c>
      <c r="H35" s="9"/>
      <c r="I35" s="9"/>
      <c r="J35" s="9">
        <v>9358</v>
      </c>
      <c r="K35" s="9">
        <v>361</v>
      </c>
      <c r="L35" s="9">
        <v>127213</v>
      </c>
      <c r="M35" s="9">
        <v>58357</v>
      </c>
      <c r="N35" s="9"/>
      <c r="O35" s="9">
        <v>670</v>
      </c>
      <c r="P35" s="9">
        <v>4</v>
      </c>
      <c r="Q35" s="9"/>
      <c r="R35" s="9">
        <v>52995.805</v>
      </c>
      <c r="S35" s="9">
        <v>1430365</v>
      </c>
      <c r="T35" s="9">
        <v>45658</v>
      </c>
      <c r="U35" s="9">
        <v>113</v>
      </c>
      <c r="V35" s="9">
        <v>6122</v>
      </c>
      <c r="W35" s="9"/>
      <c r="X35" s="9">
        <v>5465</v>
      </c>
      <c r="Y35" s="9"/>
      <c r="Z35" s="9"/>
      <c r="AA35" s="9"/>
      <c r="AB35" s="9">
        <v>254645</v>
      </c>
      <c r="AC35" s="9">
        <v>231632</v>
      </c>
      <c r="AD35" s="9"/>
      <c r="AE35" s="9">
        <f>SUM(B35:AD35)</f>
        <v>2254610.8049999997</v>
      </c>
    </row>
    <row r="36" spans="1:31" x14ac:dyDescent="0.25">
      <c r="A36" s="22" t="s">
        <v>283</v>
      </c>
      <c r="B36" s="9"/>
      <c r="C36" s="9"/>
      <c r="D36" s="9"/>
      <c r="E36" s="9">
        <v>19397</v>
      </c>
      <c r="F36" s="9">
        <v>73720</v>
      </c>
      <c r="G36" s="9">
        <v>13079</v>
      </c>
      <c r="H36" s="9"/>
      <c r="I36" s="9"/>
      <c r="J36" s="9">
        <v>10850</v>
      </c>
      <c r="K36" s="9">
        <v>694</v>
      </c>
      <c r="L36" s="9">
        <v>110265</v>
      </c>
      <c r="M36" s="9">
        <v>23350</v>
      </c>
      <c r="N36" s="9"/>
      <c r="O36" s="9">
        <v>2092</v>
      </c>
      <c r="P36" s="9">
        <v>403</v>
      </c>
      <c r="Q36" s="9"/>
      <c r="R36" s="9">
        <v>-50242.793999999994</v>
      </c>
      <c r="S36" s="9">
        <v>962657</v>
      </c>
      <c r="T36" s="9">
        <v>61399</v>
      </c>
      <c r="U36" s="9">
        <v>14204</v>
      </c>
      <c r="V36" s="9">
        <v>49251</v>
      </c>
      <c r="W36" s="9"/>
      <c r="X36" s="9">
        <v>3627</v>
      </c>
      <c r="Y36" s="9">
        <v>3120</v>
      </c>
      <c r="Z36" s="9">
        <v>262</v>
      </c>
      <c r="AA36" s="9"/>
      <c r="AB36" s="9">
        <v>477808</v>
      </c>
      <c r="AC36" s="9">
        <v>710218</v>
      </c>
      <c r="AD36" s="9">
        <v>69</v>
      </c>
      <c r="AE36" s="9">
        <f>SUM(B36:AD36)</f>
        <v>2486222.2060000002</v>
      </c>
    </row>
    <row r="37" spans="1:31" x14ac:dyDescent="0.25">
      <c r="A37" s="30"/>
    </row>
    <row r="38" spans="1:31" x14ac:dyDescent="0.25">
      <c r="A38" s="31" t="s">
        <v>233</v>
      </c>
    </row>
    <row r="39" spans="1:31" x14ac:dyDescent="0.25">
      <c r="A39" s="3" t="s">
        <v>0</v>
      </c>
      <c r="B39" s="65" t="s">
        <v>1</v>
      </c>
      <c r="C39" s="65" t="s">
        <v>2</v>
      </c>
      <c r="D39" s="65" t="s">
        <v>3</v>
      </c>
      <c r="E39" s="65" t="s">
        <v>4</v>
      </c>
      <c r="F39" s="65" t="s">
        <v>5</v>
      </c>
      <c r="G39" s="65" t="s">
        <v>6</v>
      </c>
      <c r="H39" s="65" t="s">
        <v>7</v>
      </c>
      <c r="I39" s="65" t="s">
        <v>8</v>
      </c>
      <c r="J39" s="65" t="s">
        <v>9</v>
      </c>
      <c r="K39" s="65" t="s">
        <v>10</v>
      </c>
      <c r="L39" s="65" t="s">
        <v>11</v>
      </c>
      <c r="M39" s="65" t="s">
        <v>12</v>
      </c>
      <c r="N39" s="65" t="s">
        <v>13</v>
      </c>
      <c r="O39" s="65" t="s">
        <v>14</v>
      </c>
      <c r="P39" s="65" t="s">
        <v>15</v>
      </c>
      <c r="Q39" s="65" t="s">
        <v>16</v>
      </c>
      <c r="R39" s="65" t="s">
        <v>17</v>
      </c>
      <c r="S39" s="65" t="s">
        <v>18</v>
      </c>
      <c r="T39" s="65" t="s">
        <v>19</v>
      </c>
      <c r="U39" s="65" t="s">
        <v>20</v>
      </c>
      <c r="V39" s="65" t="s">
        <v>21</v>
      </c>
      <c r="W39" s="65" t="s">
        <v>22</v>
      </c>
      <c r="X39" s="65" t="s">
        <v>23</v>
      </c>
      <c r="Y39" s="65" t="s">
        <v>24</v>
      </c>
      <c r="Z39" s="65" t="s">
        <v>25</v>
      </c>
      <c r="AA39" s="65" t="s">
        <v>26</v>
      </c>
      <c r="AB39" s="65" t="s">
        <v>27</v>
      </c>
      <c r="AC39" s="64" t="s">
        <v>28</v>
      </c>
      <c r="AD39" s="65" t="s">
        <v>29</v>
      </c>
      <c r="AE39" s="40" t="s">
        <v>30</v>
      </c>
    </row>
    <row r="40" spans="1:31" x14ac:dyDescent="0.25">
      <c r="A40" s="22" t="s">
        <v>238</v>
      </c>
      <c r="B40" s="9"/>
      <c r="C40" s="9"/>
      <c r="D40" s="9"/>
      <c r="E40" s="9">
        <v>4801</v>
      </c>
      <c r="F40" s="9"/>
      <c r="G40" s="9"/>
      <c r="H40" s="9"/>
      <c r="I40" s="9"/>
      <c r="J40" s="9">
        <v>190148</v>
      </c>
      <c r="K40" s="9"/>
      <c r="L40" s="9">
        <v>443535</v>
      </c>
      <c r="M40" s="9"/>
      <c r="N40" s="9"/>
      <c r="O40" s="9"/>
      <c r="P40" s="9"/>
      <c r="Q40" s="9"/>
      <c r="R40" s="9">
        <v>1465719.43</v>
      </c>
      <c r="S40" s="9">
        <v>208547</v>
      </c>
      <c r="T40" s="9">
        <v>1263343</v>
      </c>
      <c r="U40" s="9"/>
      <c r="V40" s="9">
        <v>57254</v>
      </c>
      <c r="W40" s="9"/>
      <c r="X40" s="9"/>
      <c r="Y40" s="9">
        <v>3143</v>
      </c>
      <c r="Z40" s="9"/>
      <c r="AA40" s="9"/>
      <c r="AB40" s="9"/>
      <c r="AC40" s="9">
        <v>3528095</v>
      </c>
      <c r="AD40" s="9"/>
      <c r="AE40" s="9">
        <f>SUM(B40:AD40)</f>
        <v>7164585.4299999997</v>
      </c>
    </row>
    <row r="41" spans="1:31" x14ac:dyDescent="0.25">
      <c r="A41" s="22" t="s">
        <v>283</v>
      </c>
      <c r="B41" s="9"/>
      <c r="C41" s="9"/>
      <c r="D41" s="9"/>
      <c r="E41" s="9">
        <v>3350</v>
      </c>
      <c r="F41" s="9"/>
      <c r="G41" s="9"/>
      <c r="H41" s="9"/>
      <c r="I41" s="9"/>
      <c r="J41" s="70">
        <v>968</v>
      </c>
      <c r="K41" s="9"/>
      <c r="L41" s="9">
        <v>610914</v>
      </c>
      <c r="M41" s="9">
        <v>-6009</v>
      </c>
      <c r="N41" s="9"/>
      <c r="O41" s="9"/>
      <c r="P41" s="9"/>
      <c r="Q41" s="9"/>
      <c r="R41" s="9">
        <v>3235.6539999999804</v>
      </c>
      <c r="S41" s="9">
        <v>652252</v>
      </c>
      <c r="T41" s="9">
        <v>226211</v>
      </c>
      <c r="U41" s="9"/>
      <c r="V41" s="9">
        <v>105</v>
      </c>
      <c r="W41" s="9"/>
      <c r="X41" s="9"/>
      <c r="Y41" s="9">
        <v>-28</v>
      </c>
      <c r="Z41" s="9"/>
      <c r="AA41" s="9"/>
      <c r="AB41" s="9">
        <v>6</v>
      </c>
      <c r="AC41" s="9">
        <v>186474</v>
      </c>
      <c r="AD41" s="9"/>
      <c r="AE41" s="9">
        <f>SUM(B41:AD41)</f>
        <v>1677478.6540000001</v>
      </c>
    </row>
    <row r="42" spans="1:31" x14ac:dyDescent="0.25">
      <c r="A42" s="13"/>
    </row>
    <row r="43" spans="1:31" x14ac:dyDescent="0.25">
      <c r="A43" s="29" t="s">
        <v>234</v>
      </c>
    </row>
    <row r="44" spans="1:31" x14ac:dyDescent="0.25">
      <c r="A44" s="3" t="s">
        <v>0</v>
      </c>
      <c r="B44" s="65" t="s">
        <v>1</v>
      </c>
      <c r="C44" s="65" t="s">
        <v>2</v>
      </c>
      <c r="D44" s="65" t="s">
        <v>3</v>
      </c>
      <c r="E44" s="65" t="s">
        <v>4</v>
      </c>
      <c r="F44" s="65" t="s">
        <v>5</v>
      </c>
      <c r="G44" s="65" t="s">
        <v>6</v>
      </c>
      <c r="H44" s="65" t="s">
        <v>7</v>
      </c>
      <c r="I44" s="65" t="s">
        <v>8</v>
      </c>
      <c r="J44" s="65" t="s">
        <v>9</v>
      </c>
      <c r="K44" s="65" t="s">
        <v>10</v>
      </c>
      <c r="L44" s="65" t="s">
        <v>11</v>
      </c>
      <c r="M44" s="65" t="s">
        <v>12</v>
      </c>
      <c r="N44" s="65" t="s">
        <v>13</v>
      </c>
      <c r="O44" s="65" t="s">
        <v>14</v>
      </c>
      <c r="P44" s="65" t="s">
        <v>15</v>
      </c>
      <c r="Q44" s="65" t="s">
        <v>16</v>
      </c>
      <c r="R44" s="65" t="s">
        <v>17</v>
      </c>
      <c r="S44" s="65" t="s">
        <v>18</v>
      </c>
      <c r="T44" s="65" t="s">
        <v>19</v>
      </c>
      <c r="U44" s="65" t="s">
        <v>20</v>
      </c>
      <c r="V44" s="65" t="s">
        <v>21</v>
      </c>
      <c r="W44" s="65" t="s">
        <v>22</v>
      </c>
      <c r="X44" s="65" t="s">
        <v>23</v>
      </c>
      <c r="Y44" s="65" t="s">
        <v>24</v>
      </c>
      <c r="Z44" s="65" t="s">
        <v>25</v>
      </c>
      <c r="AA44" s="65" t="s">
        <v>26</v>
      </c>
      <c r="AB44" s="65" t="s">
        <v>27</v>
      </c>
      <c r="AC44" s="64" t="s">
        <v>28</v>
      </c>
      <c r="AD44" s="65" t="s">
        <v>29</v>
      </c>
      <c r="AE44" s="40" t="s">
        <v>30</v>
      </c>
    </row>
    <row r="45" spans="1:31" x14ac:dyDescent="0.25">
      <c r="A45" s="22" t="s">
        <v>238</v>
      </c>
      <c r="B45" s="9">
        <f>B50-B40-B35-B30-B20-B15-B10-B5-B25</f>
        <v>1</v>
      </c>
      <c r="C45" s="9">
        <f t="shared" ref="C45:AD45" si="0">C50-C40-C35-C30-C20-C15-C10-C5-C25</f>
        <v>27609536</v>
      </c>
      <c r="D45" s="9">
        <f t="shared" si="0"/>
        <v>30088</v>
      </c>
      <c r="E45" s="9">
        <f t="shared" si="0"/>
        <v>3288778</v>
      </c>
      <c r="F45" s="9">
        <f t="shared" si="0"/>
        <v>136696</v>
      </c>
      <c r="G45" s="9">
        <f t="shared" si="0"/>
        <v>1003157</v>
      </c>
      <c r="H45" s="9">
        <f t="shared" si="0"/>
        <v>0</v>
      </c>
      <c r="I45" s="9">
        <f t="shared" si="0"/>
        <v>8853390.1600000001</v>
      </c>
      <c r="J45" s="9">
        <f t="shared" si="0"/>
        <v>920522</v>
      </c>
      <c r="K45" s="9">
        <f t="shared" si="0"/>
        <v>69699</v>
      </c>
      <c r="L45" s="9">
        <f t="shared" si="0"/>
        <v>6823844</v>
      </c>
      <c r="M45" s="9">
        <f t="shared" si="0"/>
        <v>16384774</v>
      </c>
      <c r="N45" s="9">
        <f t="shared" si="0"/>
        <v>0</v>
      </c>
      <c r="O45" s="9">
        <f t="shared" si="0"/>
        <v>42668</v>
      </c>
      <c r="P45" s="9">
        <f t="shared" si="0"/>
        <v>18766</v>
      </c>
      <c r="Q45" s="9">
        <f t="shared" si="0"/>
        <v>0</v>
      </c>
      <c r="R45" s="9">
        <f t="shared" si="0"/>
        <v>4543570.8850000203</v>
      </c>
      <c r="S45" s="9">
        <f t="shared" si="0"/>
        <v>5753958</v>
      </c>
      <c r="T45" s="9">
        <f t="shared" si="0"/>
        <v>2148107</v>
      </c>
      <c r="U45" s="9">
        <f t="shared" si="0"/>
        <v>7070</v>
      </c>
      <c r="V45" s="9">
        <f t="shared" si="0"/>
        <v>3897826</v>
      </c>
      <c r="W45" s="9">
        <f t="shared" si="0"/>
        <v>71083.399999999441</v>
      </c>
      <c r="X45" s="9">
        <f t="shared" si="0"/>
        <v>27767</v>
      </c>
      <c r="Y45" s="9">
        <f t="shared" si="0"/>
        <v>1226118</v>
      </c>
      <c r="Z45" s="9">
        <f t="shared" si="0"/>
        <v>15973</v>
      </c>
      <c r="AA45" s="9">
        <f t="shared" si="0"/>
        <v>14870947</v>
      </c>
      <c r="AB45" s="9">
        <f t="shared" si="0"/>
        <v>2744013</v>
      </c>
      <c r="AC45" s="9">
        <f t="shared" si="0"/>
        <v>3389858</v>
      </c>
      <c r="AD45" s="9">
        <f t="shared" si="0"/>
        <v>767399</v>
      </c>
      <c r="AE45" s="9">
        <f>SUM(B45:AD45)</f>
        <v>104645609.44500002</v>
      </c>
    </row>
    <row r="46" spans="1:31" x14ac:dyDescent="0.25">
      <c r="A46" s="22" t="s">
        <v>283</v>
      </c>
      <c r="B46" s="9">
        <f>B51-B41-B36-B31-B26-B21-B16-B11-B6</f>
        <v>0</v>
      </c>
      <c r="C46" s="9">
        <f t="shared" ref="C46:AD46" si="1">C51-C41-C36-C31-C26-C21-C16-C11-C6</f>
        <v>23992172</v>
      </c>
      <c r="D46" s="9">
        <f t="shared" si="1"/>
        <v>46445</v>
      </c>
      <c r="E46" s="9">
        <f t="shared" si="1"/>
        <v>3614395</v>
      </c>
      <c r="F46" s="9">
        <f t="shared" si="1"/>
        <v>-10245</v>
      </c>
      <c r="G46" s="9">
        <f t="shared" si="1"/>
        <v>387606</v>
      </c>
      <c r="H46" s="9">
        <f t="shared" si="1"/>
        <v>0</v>
      </c>
      <c r="I46" s="9">
        <f t="shared" si="1"/>
        <v>10566501.810000001</v>
      </c>
      <c r="J46" s="9">
        <f t="shared" si="1"/>
        <v>605032</v>
      </c>
      <c r="K46" s="9">
        <f t="shared" si="1"/>
        <v>21894</v>
      </c>
      <c r="L46" s="9">
        <f t="shared" si="1"/>
        <v>6031355</v>
      </c>
      <c r="M46" s="9">
        <f t="shared" si="1"/>
        <v>3331883</v>
      </c>
      <c r="N46" s="9">
        <f t="shared" si="1"/>
        <v>1</v>
      </c>
      <c r="O46" s="9">
        <f t="shared" si="1"/>
        <v>79049</v>
      </c>
      <c r="P46" s="9">
        <f t="shared" si="1"/>
        <v>63322</v>
      </c>
      <c r="Q46" s="9">
        <f t="shared" si="1"/>
        <v>0</v>
      </c>
      <c r="R46" s="9">
        <f t="shared" si="1"/>
        <v>5051947.2789999861</v>
      </c>
      <c r="S46" s="9">
        <f t="shared" si="1"/>
        <v>7896729</v>
      </c>
      <c r="T46" s="9">
        <f t="shared" si="1"/>
        <v>4297759</v>
      </c>
      <c r="U46" s="9">
        <f t="shared" si="1"/>
        <v>75255</v>
      </c>
      <c r="V46" s="9">
        <f t="shared" si="1"/>
        <v>1752100</v>
      </c>
      <c r="W46" s="9">
        <f t="shared" si="1"/>
        <v>103647.30000000028</v>
      </c>
      <c r="X46" s="9">
        <f t="shared" si="1"/>
        <v>28810</v>
      </c>
      <c r="Y46" s="9">
        <f t="shared" si="1"/>
        <v>403192</v>
      </c>
      <c r="Z46" s="9">
        <f t="shared" si="1"/>
        <v>243536</v>
      </c>
      <c r="AA46" s="9">
        <f t="shared" si="1"/>
        <v>11567085</v>
      </c>
      <c r="AB46" s="9">
        <f t="shared" si="1"/>
        <v>996088</v>
      </c>
      <c r="AC46" s="9">
        <f t="shared" si="1"/>
        <v>6308552</v>
      </c>
      <c r="AD46" s="9">
        <f t="shared" si="1"/>
        <v>851901</v>
      </c>
      <c r="AE46" s="9">
        <f>SUM(B46:AD46)</f>
        <v>88306012.388999984</v>
      </c>
    </row>
    <row r="47" spans="1:31" x14ac:dyDescent="0.25">
      <c r="A47" s="13"/>
    </row>
    <row r="48" spans="1:31" x14ac:dyDescent="0.25">
      <c r="A48" s="29" t="s">
        <v>51</v>
      </c>
    </row>
    <row r="49" spans="1:31" x14ac:dyDescent="0.25">
      <c r="A49" s="3" t="s">
        <v>0</v>
      </c>
      <c r="B49" s="65" t="s">
        <v>1</v>
      </c>
      <c r="C49" s="65" t="s">
        <v>2</v>
      </c>
      <c r="D49" s="65" t="s">
        <v>3</v>
      </c>
      <c r="E49" s="65" t="s">
        <v>4</v>
      </c>
      <c r="F49" s="65" t="s">
        <v>5</v>
      </c>
      <c r="G49" s="65" t="s">
        <v>6</v>
      </c>
      <c r="H49" s="65" t="s">
        <v>7</v>
      </c>
      <c r="I49" s="65" t="s">
        <v>8</v>
      </c>
      <c r="J49" s="65" t="s">
        <v>9</v>
      </c>
      <c r="K49" s="65" t="s">
        <v>10</v>
      </c>
      <c r="L49" s="65" t="s">
        <v>11</v>
      </c>
      <c r="M49" s="65" t="s">
        <v>12</v>
      </c>
      <c r="N49" s="65" t="s">
        <v>13</v>
      </c>
      <c r="O49" s="65" t="s">
        <v>14</v>
      </c>
      <c r="P49" s="65" t="s">
        <v>15</v>
      </c>
      <c r="Q49" s="65" t="s">
        <v>16</v>
      </c>
      <c r="R49" s="65" t="s">
        <v>17</v>
      </c>
      <c r="S49" s="65" t="s">
        <v>18</v>
      </c>
      <c r="T49" s="65" t="s">
        <v>19</v>
      </c>
      <c r="U49" s="65" t="s">
        <v>20</v>
      </c>
      <c r="V49" s="65" t="s">
        <v>21</v>
      </c>
      <c r="W49" s="65" t="s">
        <v>22</v>
      </c>
      <c r="X49" s="65" t="s">
        <v>23</v>
      </c>
      <c r="Y49" s="65" t="s">
        <v>24</v>
      </c>
      <c r="Z49" s="65" t="s">
        <v>25</v>
      </c>
      <c r="AA49" s="65" t="s">
        <v>26</v>
      </c>
      <c r="AB49" s="65" t="s">
        <v>27</v>
      </c>
      <c r="AC49" s="64" t="s">
        <v>28</v>
      </c>
      <c r="AD49" s="65" t="s">
        <v>29</v>
      </c>
      <c r="AE49" s="40" t="s">
        <v>30</v>
      </c>
    </row>
    <row r="50" spans="1:31" x14ac:dyDescent="0.25">
      <c r="A50" s="22" t="s">
        <v>238</v>
      </c>
      <c r="B50" s="9">
        <v>82328</v>
      </c>
      <c r="C50" s="9">
        <v>27609536</v>
      </c>
      <c r="D50" s="9">
        <v>7260607</v>
      </c>
      <c r="E50" s="9">
        <v>32524252</v>
      </c>
      <c r="F50" s="9">
        <v>12667159</v>
      </c>
      <c r="G50" s="9">
        <v>15176290</v>
      </c>
      <c r="H50" s="9">
        <v>846598</v>
      </c>
      <c r="I50" s="9">
        <v>8853390.1600000001</v>
      </c>
      <c r="J50" s="9">
        <v>10397062</v>
      </c>
      <c r="K50" s="9">
        <v>2687225</v>
      </c>
      <c r="L50" s="9">
        <v>50120991</v>
      </c>
      <c r="M50" s="9">
        <v>25585245</v>
      </c>
      <c r="N50" s="9">
        <v>68595</v>
      </c>
      <c r="O50" s="9">
        <v>2295898</v>
      </c>
      <c r="P50" s="9">
        <v>2094967</v>
      </c>
      <c r="Q50" s="9">
        <v>2937058</v>
      </c>
      <c r="R50" s="9">
        <v>113142905.06000003</v>
      </c>
      <c r="S50" s="9">
        <v>154097806</v>
      </c>
      <c r="T50" s="9">
        <v>77775159</v>
      </c>
      <c r="U50" s="9">
        <v>19103</v>
      </c>
      <c r="V50" s="9">
        <v>22303262</v>
      </c>
      <c r="W50" s="9">
        <v>2543737.7999999998</v>
      </c>
      <c r="X50" s="9">
        <v>12382038</v>
      </c>
      <c r="Y50" s="9">
        <v>11817139</v>
      </c>
      <c r="Z50" s="9">
        <v>14295134</v>
      </c>
      <c r="AA50" s="9">
        <v>14870947</v>
      </c>
      <c r="AB50" s="9">
        <v>19639258</v>
      </c>
      <c r="AC50" s="9">
        <v>118269231</v>
      </c>
      <c r="AD50" s="9">
        <v>6000155</v>
      </c>
      <c r="AE50" s="9">
        <f>SUM(B50:AD50)</f>
        <v>768363076.01999998</v>
      </c>
    </row>
    <row r="51" spans="1:31" x14ac:dyDescent="0.25">
      <c r="A51" s="22" t="s">
        <v>283</v>
      </c>
      <c r="B51" s="9">
        <v>149232</v>
      </c>
      <c r="C51" s="9">
        <v>23992172</v>
      </c>
      <c r="D51" s="9">
        <v>6055940</v>
      </c>
      <c r="E51" s="9">
        <v>34762937</v>
      </c>
      <c r="F51" s="9">
        <v>9889215</v>
      </c>
      <c r="G51" s="9">
        <v>16389566</v>
      </c>
      <c r="H51" s="9">
        <v>874998</v>
      </c>
      <c r="I51" s="9">
        <v>10566501.810000001</v>
      </c>
      <c r="J51" s="9">
        <v>8410883</v>
      </c>
      <c r="K51" s="9">
        <v>2858992</v>
      </c>
      <c r="L51" s="9">
        <v>49543315</v>
      </c>
      <c r="M51" s="9">
        <v>28777162</v>
      </c>
      <c r="N51" s="9">
        <v>240144</v>
      </c>
      <c r="O51" s="9">
        <v>3299937</v>
      </c>
      <c r="P51" s="9">
        <v>2587357</v>
      </c>
      <c r="Q51" s="9">
        <v>2828120</v>
      </c>
      <c r="R51" s="9">
        <v>105066814.934</v>
      </c>
      <c r="S51" s="9">
        <v>162569287</v>
      </c>
      <c r="T51" s="9">
        <v>93981017</v>
      </c>
      <c r="U51" s="9">
        <v>258387</v>
      </c>
      <c r="V51" s="9">
        <v>19267197</v>
      </c>
      <c r="W51" s="9">
        <v>2445090</v>
      </c>
      <c r="X51" s="9">
        <v>13446774</v>
      </c>
      <c r="Y51" s="9">
        <v>11075225</v>
      </c>
      <c r="Z51" s="9">
        <v>17254934</v>
      </c>
      <c r="AA51" s="9">
        <v>11567085</v>
      </c>
      <c r="AB51" s="9">
        <v>17411150</v>
      </c>
      <c r="AC51" s="9">
        <v>128815123</v>
      </c>
      <c r="AD51" s="9">
        <v>4697450</v>
      </c>
      <c r="AE51" s="9">
        <f>SUM(B51:AD51)</f>
        <v>789082005.74399996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6" customWidth="1"/>
    <col min="2" max="30" width="16" style="6" customWidth="1"/>
    <col min="31" max="31" width="16" style="7" customWidth="1"/>
    <col min="32" max="16384" width="9.140625" style="6"/>
  </cols>
  <sheetData>
    <row r="1" spans="1:31" ht="18.75" x14ac:dyDescent="0.3">
      <c r="A1" s="8" t="s">
        <v>225</v>
      </c>
    </row>
    <row r="2" spans="1:31" x14ac:dyDescent="0.25">
      <c r="A2" s="24" t="s">
        <v>43</v>
      </c>
    </row>
    <row r="3" spans="1:31" x14ac:dyDescent="0.25">
      <c r="A3" s="25" t="s">
        <v>226</v>
      </c>
    </row>
    <row r="4" spans="1:31" x14ac:dyDescent="0.25">
      <c r="A4" s="3" t="s">
        <v>0</v>
      </c>
      <c r="B4" s="65" t="s">
        <v>1</v>
      </c>
      <c r="C4" s="65" t="s">
        <v>2</v>
      </c>
      <c r="D4" s="65" t="s">
        <v>3</v>
      </c>
      <c r="E4" s="65" t="s">
        <v>4</v>
      </c>
      <c r="F4" s="65" t="s">
        <v>5</v>
      </c>
      <c r="G4" s="65" t="s">
        <v>6</v>
      </c>
      <c r="H4" s="65" t="s">
        <v>7</v>
      </c>
      <c r="I4" s="65" t="s">
        <v>8</v>
      </c>
      <c r="J4" s="65" t="s">
        <v>9</v>
      </c>
      <c r="K4" s="65" t="s">
        <v>10</v>
      </c>
      <c r="L4" s="65" t="s">
        <v>11</v>
      </c>
      <c r="M4" s="65" t="s">
        <v>12</v>
      </c>
      <c r="N4" s="65" t="s">
        <v>13</v>
      </c>
      <c r="O4" s="65" t="s">
        <v>14</v>
      </c>
      <c r="P4" s="65" t="s">
        <v>15</v>
      </c>
      <c r="Q4" s="65" t="s">
        <v>16</v>
      </c>
      <c r="R4" s="65" t="s">
        <v>17</v>
      </c>
      <c r="S4" s="65" t="s">
        <v>18</v>
      </c>
      <c r="T4" s="65" t="s">
        <v>19</v>
      </c>
      <c r="U4" s="65" t="s">
        <v>20</v>
      </c>
      <c r="V4" s="65" t="s">
        <v>21</v>
      </c>
      <c r="W4" s="65" t="s">
        <v>22</v>
      </c>
      <c r="X4" s="65" t="s">
        <v>23</v>
      </c>
      <c r="Y4" s="65" t="s">
        <v>24</v>
      </c>
      <c r="Z4" s="65" t="s">
        <v>25</v>
      </c>
      <c r="AA4" s="65" t="s">
        <v>26</v>
      </c>
      <c r="AB4" s="65" t="s">
        <v>27</v>
      </c>
      <c r="AC4" s="64" t="s">
        <v>28</v>
      </c>
      <c r="AD4" s="65" t="s">
        <v>29</v>
      </c>
      <c r="AE4" s="40" t="s">
        <v>30</v>
      </c>
    </row>
    <row r="5" spans="1:31" x14ac:dyDescent="0.25">
      <c r="A5" s="26" t="s">
        <v>235</v>
      </c>
      <c r="B5" s="9"/>
      <c r="C5" s="9"/>
      <c r="D5" s="9"/>
      <c r="E5" s="9">
        <v>320421</v>
      </c>
      <c r="F5" s="9">
        <v>26997</v>
      </c>
      <c r="G5" s="9">
        <v>169911</v>
      </c>
      <c r="H5" s="9"/>
      <c r="I5" s="9"/>
      <c r="J5" s="9">
        <v>131346</v>
      </c>
      <c r="K5" s="9">
        <v>25576</v>
      </c>
      <c r="L5" s="9">
        <v>264511</v>
      </c>
      <c r="M5" s="9">
        <v>91453</v>
      </c>
      <c r="N5" s="9">
        <v>67</v>
      </c>
      <c r="O5" s="9">
        <v>20399</v>
      </c>
      <c r="P5" s="9">
        <v>19947</v>
      </c>
      <c r="Q5" s="9"/>
      <c r="R5" s="9">
        <v>628378</v>
      </c>
      <c r="S5" s="9">
        <v>3245925</v>
      </c>
      <c r="T5" s="9">
        <v>867015</v>
      </c>
      <c r="U5" s="9">
        <v>2214</v>
      </c>
      <c r="V5" s="9">
        <v>147016</v>
      </c>
      <c r="W5" s="9"/>
      <c r="X5" s="9">
        <v>107189</v>
      </c>
      <c r="Y5" s="9">
        <v>584673</v>
      </c>
      <c r="Z5" s="9">
        <v>23583</v>
      </c>
      <c r="AA5" s="9"/>
      <c r="AB5" s="9">
        <v>321632</v>
      </c>
      <c r="AC5" s="9">
        <v>1013485</v>
      </c>
      <c r="AD5" s="9">
        <v>79305</v>
      </c>
      <c r="AE5" s="10">
        <f>SUM(B5:AD5)</f>
        <v>8091043</v>
      </c>
    </row>
    <row r="6" spans="1:31" x14ac:dyDescent="0.25">
      <c r="A6" s="26" t="s">
        <v>236</v>
      </c>
      <c r="B6" s="9"/>
      <c r="C6" s="9"/>
      <c r="D6" s="9"/>
      <c r="E6" s="9">
        <v>-102227</v>
      </c>
      <c r="F6" s="9">
        <v>-24380</v>
      </c>
      <c r="G6" s="9">
        <v>30617</v>
      </c>
      <c r="H6" s="9"/>
      <c r="I6" s="9"/>
      <c r="J6" s="9">
        <v>-17700</v>
      </c>
      <c r="K6" s="9">
        <v>3673</v>
      </c>
      <c r="L6" s="9">
        <v>-495076</v>
      </c>
      <c r="M6" s="9">
        <v>-377910</v>
      </c>
      <c r="N6" s="9">
        <v>-690</v>
      </c>
      <c r="O6" s="9">
        <v>8178</v>
      </c>
      <c r="P6" s="9">
        <v>-3772</v>
      </c>
      <c r="Q6" s="9"/>
      <c r="R6" s="9">
        <v>825548</v>
      </c>
      <c r="S6" s="9">
        <v>3406042</v>
      </c>
      <c r="T6" s="9">
        <v>686956</v>
      </c>
      <c r="U6" s="9">
        <v>-394</v>
      </c>
      <c r="V6" s="9">
        <v>-256036</v>
      </c>
      <c r="W6" s="9"/>
      <c r="X6" s="9">
        <v>-20619</v>
      </c>
      <c r="Y6" s="9">
        <v>-556075</v>
      </c>
      <c r="Z6" s="9">
        <v>-4583</v>
      </c>
      <c r="AA6" s="9"/>
      <c r="AB6" s="9">
        <v>-605213</v>
      </c>
      <c r="AC6" s="9">
        <v>850424</v>
      </c>
      <c r="AD6" s="9">
        <v>31620</v>
      </c>
      <c r="AE6" s="10">
        <f>SUM(B6:AD6)</f>
        <v>3378383</v>
      </c>
    </row>
    <row r="7" spans="1:31" x14ac:dyDescent="0.25">
      <c r="A7" s="24"/>
    </row>
    <row r="8" spans="1:31" x14ac:dyDescent="0.25">
      <c r="A8" s="25" t="s">
        <v>227</v>
      </c>
    </row>
    <row r="9" spans="1:31" x14ac:dyDescent="0.25">
      <c r="A9" s="3" t="s">
        <v>0</v>
      </c>
      <c r="B9" s="65" t="s">
        <v>1</v>
      </c>
      <c r="C9" s="65" t="s">
        <v>2</v>
      </c>
      <c r="D9" s="65" t="s">
        <v>3</v>
      </c>
      <c r="E9" s="65" t="s">
        <v>4</v>
      </c>
      <c r="F9" s="65" t="s">
        <v>5</v>
      </c>
      <c r="G9" s="65" t="s">
        <v>6</v>
      </c>
      <c r="H9" s="65" t="s">
        <v>7</v>
      </c>
      <c r="I9" s="65" t="s">
        <v>8</v>
      </c>
      <c r="J9" s="65" t="s">
        <v>9</v>
      </c>
      <c r="K9" s="65" t="s">
        <v>10</v>
      </c>
      <c r="L9" s="65" t="s">
        <v>11</v>
      </c>
      <c r="M9" s="65" t="s">
        <v>12</v>
      </c>
      <c r="N9" s="65" t="s">
        <v>13</v>
      </c>
      <c r="O9" s="65" t="s">
        <v>14</v>
      </c>
      <c r="P9" s="65" t="s">
        <v>15</v>
      </c>
      <c r="Q9" s="65" t="s">
        <v>16</v>
      </c>
      <c r="R9" s="65" t="s">
        <v>17</v>
      </c>
      <c r="S9" s="65" t="s">
        <v>18</v>
      </c>
      <c r="T9" s="65" t="s">
        <v>19</v>
      </c>
      <c r="U9" s="65" t="s">
        <v>20</v>
      </c>
      <c r="V9" s="65" t="s">
        <v>21</v>
      </c>
      <c r="W9" s="65" t="s">
        <v>22</v>
      </c>
      <c r="X9" s="65" t="s">
        <v>23</v>
      </c>
      <c r="Y9" s="65" t="s">
        <v>24</v>
      </c>
      <c r="Z9" s="65" t="s">
        <v>25</v>
      </c>
      <c r="AA9" s="65" t="s">
        <v>26</v>
      </c>
      <c r="AB9" s="65" t="s">
        <v>27</v>
      </c>
      <c r="AC9" s="64" t="s">
        <v>28</v>
      </c>
      <c r="AD9" s="65" t="s">
        <v>29</v>
      </c>
      <c r="AE9" s="40" t="s">
        <v>30</v>
      </c>
    </row>
    <row r="10" spans="1:31" x14ac:dyDescent="0.25">
      <c r="A10" s="26" t="s">
        <v>235</v>
      </c>
      <c r="B10" s="9"/>
      <c r="C10" s="9"/>
      <c r="D10" s="9"/>
      <c r="E10" s="9">
        <v>110750</v>
      </c>
      <c r="F10" s="9">
        <v>20345</v>
      </c>
      <c r="G10" s="9">
        <v>32104</v>
      </c>
      <c r="H10" s="9"/>
      <c r="I10" s="9"/>
      <c r="J10" s="9">
        <v>71832</v>
      </c>
      <c r="K10" s="9">
        <v>10358</v>
      </c>
      <c r="L10" s="9">
        <v>221394</v>
      </c>
      <c r="M10" s="9">
        <v>69097</v>
      </c>
      <c r="N10" s="9"/>
      <c r="O10" s="9">
        <v>16999</v>
      </c>
      <c r="P10" s="9">
        <v>5987</v>
      </c>
      <c r="Q10" s="9"/>
      <c r="R10" s="9">
        <v>226053</v>
      </c>
      <c r="S10" s="9">
        <v>640540</v>
      </c>
      <c r="T10" s="9">
        <v>317780</v>
      </c>
      <c r="U10" s="9"/>
      <c r="V10" s="9">
        <v>52411</v>
      </c>
      <c r="W10" s="9"/>
      <c r="X10" s="9">
        <v>36971</v>
      </c>
      <c r="Y10" s="9">
        <v>22570</v>
      </c>
      <c r="Z10" s="9">
        <v>1251</v>
      </c>
      <c r="AA10" s="9"/>
      <c r="AB10" s="9">
        <v>339213</v>
      </c>
      <c r="AC10" s="9">
        <v>328522</v>
      </c>
      <c r="AD10" s="9">
        <v>14616</v>
      </c>
      <c r="AE10" s="10">
        <f>SUM(B10:AD10)</f>
        <v>2538793</v>
      </c>
    </row>
    <row r="11" spans="1:31" x14ac:dyDescent="0.25">
      <c r="A11" s="26" t="s">
        <v>236</v>
      </c>
      <c r="B11" s="9"/>
      <c r="C11" s="9"/>
      <c r="D11" s="9"/>
      <c r="E11" s="9">
        <v>67402</v>
      </c>
      <c r="F11" s="9">
        <v>14409</v>
      </c>
      <c r="G11" s="9">
        <v>-62677</v>
      </c>
      <c r="H11" s="9"/>
      <c r="I11" s="9"/>
      <c r="J11" s="9">
        <v>61895</v>
      </c>
      <c r="K11" s="9">
        <v>4344</v>
      </c>
      <c r="L11" s="9">
        <v>180149</v>
      </c>
      <c r="M11" s="9">
        <v>-42608</v>
      </c>
      <c r="N11" s="9"/>
      <c r="O11" s="9">
        <v>8941</v>
      </c>
      <c r="P11" s="9">
        <v>-8671</v>
      </c>
      <c r="Q11" s="9"/>
      <c r="R11" s="9">
        <v>152323</v>
      </c>
      <c r="S11" s="9">
        <v>453866</v>
      </c>
      <c r="T11" s="9">
        <v>246349</v>
      </c>
      <c r="U11" s="9">
        <v>-2</v>
      </c>
      <c r="V11" s="9">
        <v>-33368</v>
      </c>
      <c r="W11" s="9"/>
      <c r="X11" s="9">
        <v>7154</v>
      </c>
      <c r="Y11" s="9">
        <v>21165</v>
      </c>
      <c r="Z11" s="9">
        <v>-117</v>
      </c>
      <c r="AA11" s="9"/>
      <c r="AB11" s="9">
        <v>284893</v>
      </c>
      <c r="AC11" s="9">
        <v>272951</v>
      </c>
      <c r="AD11" s="9">
        <f>-5374-16864</f>
        <v>-22238</v>
      </c>
      <c r="AE11" s="10">
        <f>SUM(B11:AD11)</f>
        <v>1606160</v>
      </c>
    </row>
    <row r="12" spans="1:31" x14ac:dyDescent="0.25">
      <c r="A12" s="24"/>
    </row>
    <row r="13" spans="1:31" x14ac:dyDescent="0.25">
      <c r="A13" s="25" t="s">
        <v>228</v>
      </c>
    </row>
    <row r="14" spans="1:31" x14ac:dyDescent="0.25">
      <c r="A14" s="3" t="s">
        <v>0</v>
      </c>
      <c r="B14" s="65" t="s">
        <v>1</v>
      </c>
      <c r="C14" s="65" t="s">
        <v>2</v>
      </c>
      <c r="D14" s="65" t="s">
        <v>3</v>
      </c>
      <c r="E14" s="65" t="s">
        <v>4</v>
      </c>
      <c r="F14" s="65" t="s">
        <v>5</v>
      </c>
      <c r="G14" s="65" t="s">
        <v>6</v>
      </c>
      <c r="H14" s="65" t="s">
        <v>7</v>
      </c>
      <c r="I14" s="65" t="s">
        <v>8</v>
      </c>
      <c r="J14" s="65" t="s">
        <v>9</v>
      </c>
      <c r="K14" s="65" t="s">
        <v>10</v>
      </c>
      <c r="L14" s="65" t="s">
        <v>11</v>
      </c>
      <c r="M14" s="65" t="s">
        <v>12</v>
      </c>
      <c r="N14" s="65" t="s">
        <v>13</v>
      </c>
      <c r="O14" s="65" t="s">
        <v>14</v>
      </c>
      <c r="P14" s="65" t="s">
        <v>15</v>
      </c>
      <c r="Q14" s="65" t="s">
        <v>16</v>
      </c>
      <c r="R14" s="65" t="s">
        <v>17</v>
      </c>
      <c r="S14" s="65" t="s">
        <v>18</v>
      </c>
      <c r="T14" s="65" t="s">
        <v>19</v>
      </c>
      <c r="U14" s="65" t="s">
        <v>20</v>
      </c>
      <c r="V14" s="65" t="s">
        <v>21</v>
      </c>
      <c r="W14" s="65" t="s">
        <v>22</v>
      </c>
      <c r="X14" s="65" t="s">
        <v>23</v>
      </c>
      <c r="Y14" s="65" t="s">
        <v>24</v>
      </c>
      <c r="Z14" s="65" t="s">
        <v>25</v>
      </c>
      <c r="AA14" s="65" t="s">
        <v>26</v>
      </c>
      <c r="AB14" s="65" t="s">
        <v>27</v>
      </c>
      <c r="AC14" s="64" t="s">
        <v>28</v>
      </c>
      <c r="AD14" s="65" t="s">
        <v>29</v>
      </c>
      <c r="AE14" s="40" t="s">
        <v>30</v>
      </c>
    </row>
    <row r="15" spans="1:31" x14ac:dyDescent="0.25">
      <c r="A15" s="26" t="s">
        <v>235</v>
      </c>
      <c r="B15" s="9"/>
      <c r="C15" s="9"/>
      <c r="D15" s="9"/>
      <c r="E15" s="9">
        <v>1229703</v>
      </c>
      <c r="F15" s="9">
        <v>390192</v>
      </c>
      <c r="G15" s="9">
        <v>572518</v>
      </c>
      <c r="H15" s="9"/>
      <c r="I15" s="9"/>
      <c r="J15" s="9">
        <v>267284</v>
      </c>
      <c r="K15" s="9">
        <v>65268</v>
      </c>
      <c r="L15" s="9">
        <v>1648561</v>
      </c>
      <c r="M15" s="9">
        <v>913755</v>
      </c>
      <c r="N15" s="9">
        <v>35653</v>
      </c>
      <c r="O15" s="9">
        <v>119486</v>
      </c>
      <c r="P15" s="9">
        <v>120977</v>
      </c>
      <c r="Q15" s="9"/>
      <c r="R15" s="9">
        <v>2167331</v>
      </c>
      <c r="S15" s="9">
        <v>5006829</v>
      </c>
      <c r="T15" s="9">
        <v>1680233</v>
      </c>
      <c r="U15" s="9">
        <v>1200</v>
      </c>
      <c r="V15" s="9">
        <v>646340</v>
      </c>
      <c r="W15" s="9"/>
      <c r="X15" s="9">
        <v>665029</v>
      </c>
      <c r="Y15" s="9">
        <v>266816</v>
      </c>
      <c r="Z15" s="9">
        <v>422495</v>
      </c>
      <c r="AA15" s="9"/>
      <c r="AB15" s="9">
        <v>959185</v>
      </c>
      <c r="AC15" s="9">
        <v>1872672</v>
      </c>
      <c r="AD15" s="9">
        <v>130702</v>
      </c>
      <c r="AE15" s="10">
        <f>SUM(B15:AD15)</f>
        <v>19182229</v>
      </c>
    </row>
    <row r="16" spans="1:31" x14ac:dyDescent="0.25">
      <c r="A16" s="26" t="s">
        <v>236</v>
      </c>
      <c r="B16" s="9"/>
      <c r="C16" s="9"/>
      <c r="D16" s="9"/>
      <c r="E16" s="9">
        <v>1036195</v>
      </c>
      <c r="F16" s="9">
        <v>325223</v>
      </c>
      <c r="G16" s="9">
        <v>470547</v>
      </c>
      <c r="H16" s="9"/>
      <c r="I16" s="9"/>
      <c r="J16" s="9">
        <f>-8975-331619</f>
        <v>-340594</v>
      </c>
      <c r="K16" s="9">
        <f>-43333-12442</f>
        <v>-55775</v>
      </c>
      <c r="L16" s="9">
        <v>-131109</v>
      </c>
      <c r="M16" s="9">
        <v>-418833</v>
      </c>
      <c r="N16" s="9">
        <v>31685</v>
      </c>
      <c r="O16" s="9">
        <f>98824-3340</f>
        <v>95484</v>
      </c>
      <c r="P16" s="9">
        <v>64645</v>
      </c>
      <c r="Q16" s="9"/>
      <c r="R16" s="9">
        <v>-19406</v>
      </c>
      <c r="S16" s="9">
        <v>4551292</v>
      </c>
      <c r="T16" s="9">
        <v>1490031</v>
      </c>
      <c r="U16" s="9">
        <v>-965</v>
      </c>
      <c r="V16" s="9">
        <v>-186584</v>
      </c>
      <c r="W16" s="9"/>
      <c r="X16" s="9">
        <v>567644</v>
      </c>
      <c r="Y16" s="9">
        <v>227380</v>
      </c>
      <c r="Z16" s="9">
        <v>347173</v>
      </c>
      <c r="AA16" s="9"/>
      <c r="AB16" s="9">
        <v>846638</v>
      </c>
      <c r="AC16" s="9">
        <v>1620434</v>
      </c>
      <c r="AD16" s="9">
        <f>113550-4099</f>
        <v>109451</v>
      </c>
      <c r="AE16" s="10">
        <f>SUM(B16:AD16)</f>
        <v>10630556</v>
      </c>
    </row>
    <row r="17" spans="1:31" x14ac:dyDescent="0.25">
      <c r="A17" s="24"/>
    </row>
    <row r="18" spans="1:31" x14ac:dyDescent="0.25">
      <c r="A18" s="25" t="s">
        <v>229</v>
      </c>
    </row>
    <row r="19" spans="1:31" x14ac:dyDescent="0.25">
      <c r="A19" s="3" t="s">
        <v>0</v>
      </c>
      <c r="B19" s="65" t="s">
        <v>1</v>
      </c>
      <c r="C19" s="65" t="s">
        <v>2</v>
      </c>
      <c r="D19" s="65" t="s">
        <v>3</v>
      </c>
      <c r="E19" s="65" t="s">
        <v>4</v>
      </c>
      <c r="F19" s="65" t="s">
        <v>5</v>
      </c>
      <c r="G19" s="65" t="s">
        <v>6</v>
      </c>
      <c r="H19" s="65" t="s">
        <v>7</v>
      </c>
      <c r="I19" s="65" t="s">
        <v>8</v>
      </c>
      <c r="J19" s="65" t="s">
        <v>9</v>
      </c>
      <c r="K19" s="65" t="s">
        <v>10</v>
      </c>
      <c r="L19" s="65" t="s">
        <v>11</v>
      </c>
      <c r="M19" s="65" t="s">
        <v>12</v>
      </c>
      <c r="N19" s="65" t="s">
        <v>13</v>
      </c>
      <c r="O19" s="65" t="s">
        <v>14</v>
      </c>
      <c r="P19" s="65" t="s">
        <v>15</v>
      </c>
      <c r="Q19" s="65" t="s">
        <v>16</v>
      </c>
      <c r="R19" s="65" t="s">
        <v>17</v>
      </c>
      <c r="S19" s="65" t="s">
        <v>18</v>
      </c>
      <c r="T19" s="65" t="s">
        <v>19</v>
      </c>
      <c r="U19" s="65" t="s">
        <v>20</v>
      </c>
      <c r="V19" s="65" t="s">
        <v>21</v>
      </c>
      <c r="W19" s="65" t="s">
        <v>22</v>
      </c>
      <c r="X19" s="65" t="s">
        <v>23</v>
      </c>
      <c r="Y19" s="65" t="s">
        <v>24</v>
      </c>
      <c r="Z19" s="65" t="s">
        <v>25</v>
      </c>
      <c r="AA19" s="65" t="s">
        <v>26</v>
      </c>
      <c r="AB19" s="65" t="s">
        <v>27</v>
      </c>
      <c r="AC19" s="64" t="s">
        <v>28</v>
      </c>
      <c r="AD19" s="65" t="s">
        <v>29</v>
      </c>
      <c r="AE19" s="40" t="s">
        <v>30</v>
      </c>
    </row>
    <row r="20" spans="1:31" x14ac:dyDescent="0.25">
      <c r="A20" s="26" t="s">
        <v>235</v>
      </c>
      <c r="B20" s="9"/>
      <c r="C20" s="9"/>
      <c r="D20" s="9"/>
      <c r="E20" s="9">
        <v>50252</v>
      </c>
      <c r="F20" s="9">
        <v>8885</v>
      </c>
      <c r="G20" s="9">
        <v>18109</v>
      </c>
      <c r="H20" s="9"/>
      <c r="I20" s="9"/>
      <c r="J20" s="9">
        <v>27991</v>
      </c>
      <c r="K20" s="9">
        <v>6026</v>
      </c>
      <c r="L20" s="9">
        <v>112032</v>
      </c>
      <c r="M20" s="9">
        <v>46677</v>
      </c>
      <c r="N20" s="9"/>
      <c r="O20" s="9">
        <v>2641</v>
      </c>
      <c r="P20" s="9">
        <v>5360</v>
      </c>
      <c r="Q20" s="9"/>
      <c r="R20" s="9">
        <v>188525</v>
      </c>
      <c r="S20" s="9">
        <v>462623</v>
      </c>
      <c r="T20" s="9">
        <v>156615</v>
      </c>
      <c r="U20" s="9">
        <v>397</v>
      </c>
      <c r="V20" s="9">
        <v>41424</v>
      </c>
      <c r="W20" s="9"/>
      <c r="X20" s="9">
        <v>41934</v>
      </c>
      <c r="Y20" s="9">
        <v>14614</v>
      </c>
      <c r="Z20" s="9">
        <v>8204</v>
      </c>
      <c r="AA20" s="9"/>
      <c r="AB20" s="9">
        <v>58828</v>
      </c>
      <c r="AC20" s="9">
        <v>273844</v>
      </c>
      <c r="AD20" s="9">
        <v>3324</v>
      </c>
      <c r="AE20" s="10">
        <f>SUM(B20:AD20)</f>
        <v>1528305</v>
      </c>
    </row>
    <row r="21" spans="1:31" x14ac:dyDescent="0.25">
      <c r="A21" s="26" t="s">
        <v>236</v>
      </c>
      <c r="B21" s="9"/>
      <c r="C21" s="9"/>
      <c r="D21" s="9"/>
      <c r="E21" s="9">
        <v>-126687</v>
      </c>
      <c r="F21" s="9">
        <v>-15720</v>
      </c>
      <c r="G21" s="9">
        <v>-10103</v>
      </c>
      <c r="H21" s="9"/>
      <c r="I21" s="9"/>
      <c r="J21" s="9">
        <v>-16411</v>
      </c>
      <c r="K21" s="9">
        <v>-13180</v>
      </c>
      <c r="L21" s="9">
        <v>-160084</v>
      </c>
      <c r="M21" s="9">
        <v>-15577</v>
      </c>
      <c r="N21" s="9">
        <v>37</v>
      </c>
      <c r="O21" s="9">
        <v>-13880</v>
      </c>
      <c r="P21" s="9">
        <v>-1226</v>
      </c>
      <c r="Q21" s="9"/>
      <c r="R21" s="9">
        <v>162198</v>
      </c>
      <c r="S21" s="9">
        <v>150498</v>
      </c>
      <c r="T21" s="9">
        <v>-6887</v>
      </c>
      <c r="U21" s="9">
        <v>101</v>
      </c>
      <c r="V21" s="9">
        <v>-13663</v>
      </c>
      <c r="W21" s="9"/>
      <c r="X21" s="9">
        <v>-68263</v>
      </c>
      <c r="Y21" s="9">
        <v>-6517</v>
      </c>
      <c r="Z21" s="9">
        <v>-10453</v>
      </c>
      <c r="AA21" s="9"/>
      <c r="AB21" s="9">
        <v>-156905</v>
      </c>
      <c r="AC21" s="9">
        <v>120847</v>
      </c>
      <c r="AD21" s="9">
        <v>-9773</v>
      </c>
      <c r="AE21" s="10">
        <f>SUM(B21:AD21)</f>
        <v>-211648</v>
      </c>
    </row>
    <row r="22" spans="1:31" x14ac:dyDescent="0.25">
      <c r="A22" s="24"/>
    </row>
    <row r="23" spans="1:31" x14ac:dyDescent="0.25">
      <c r="A23" s="25" t="s">
        <v>230</v>
      </c>
    </row>
    <row r="24" spans="1:31" x14ac:dyDescent="0.25">
      <c r="A24" s="3" t="s">
        <v>0</v>
      </c>
      <c r="B24" s="65" t="s">
        <v>1</v>
      </c>
      <c r="C24" s="65" t="s">
        <v>2</v>
      </c>
      <c r="D24" s="65" t="s">
        <v>3</v>
      </c>
      <c r="E24" s="65" t="s">
        <v>4</v>
      </c>
      <c r="F24" s="65" t="s">
        <v>5</v>
      </c>
      <c r="G24" s="65" t="s">
        <v>6</v>
      </c>
      <c r="H24" s="65" t="s">
        <v>7</v>
      </c>
      <c r="I24" s="65" t="s">
        <v>8</v>
      </c>
      <c r="J24" s="65" t="s">
        <v>9</v>
      </c>
      <c r="K24" s="65" t="s">
        <v>10</v>
      </c>
      <c r="L24" s="65" t="s">
        <v>11</v>
      </c>
      <c r="M24" s="65" t="s">
        <v>12</v>
      </c>
      <c r="N24" s="65" t="s">
        <v>13</v>
      </c>
      <c r="O24" s="65" t="s">
        <v>14</v>
      </c>
      <c r="P24" s="65" t="s">
        <v>15</v>
      </c>
      <c r="Q24" s="65" t="s">
        <v>16</v>
      </c>
      <c r="R24" s="65" t="s">
        <v>17</v>
      </c>
      <c r="S24" s="65" t="s">
        <v>18</v>
      </c>
      <c r="T24" s="65" t="s">
        <v>19</v>
      </c>
      <c r="U24" s="65" t="s">
        <v>20</v>
      </c>
      <c r="V24" s="65" t="s">
        <v>21</v>
      </c>
      <c r="W24" s="65" t="s">
        <v>22</v>
      </c>
      <c r="X24" s="65" t="s">
        <v>23</v>
      </c>
      <c r="Y24" s="65" t="s">
        <v>24</v>
      </c>
      <c r="Z24" s="65" t="s">
        <v>25</v>
      </c>
      <c r="AA24" s="65" t="s">
        <v>26</v>
      </c>
      <c r="AB24" s="65" t="s">
        <v>27</v>
      </c>
      <c r="AC24" s="64" t="s">
        <v>28</v>
      </c>
      <c r="AD24" s="65" t="s">
        <v>29</v>
      </c>
      <c r="AE24" s="40" t="s">
        <v>30</v>
      </c>
    </row>
    <row r="25" spans="1:31" x14ac:dyDescent="0.25">
      <c r="A25" s="26" t="s">
        <v>235</v>
      </c>
      <c r="B25" s="9">
        <v>34240</v>
      </c>
      <c r="C25" s="9"/>
      <c r="D25" s="9">
        <v>1377758</v>
      </c>
      <c r="E25" s="9">
        <v>889328</v>
      </c>
      <c r="F25" s="9">
        <v>66277</v>
      </c>
      <c r="G25" s="9">
        <v>183046</v>
      </c>
      <c r="H25" s="9">
        <v>238505</v>
      </c>
      <c r="I25" s="9"/>
      <c r="J25" s="9">
        <v>115334</v>
      </c>
      <c r="K25" s="9">
        <v>54545</v>
      </c>
      <c r="L25" s="9">
        <v>1292206</v>
      </c>
      <c r="M25" s="9">
        <v>275603</v>
      </c>
      <c r="N25" s="9">
        <v>14071</v>
      </c>
      <c r="O25" s="9">
        <v>80354</v>
      </c>
      <c r="P25" s="9"/>
      <c r="Q25" s="9">
        <v>629448</v>
      </c>
      <c r="R25" s="9">
        <v>2900565</v>
      </c>
      <c r="S25" s="9">
        <v>3719817</v>
      </c>
      <c r="T25" s="9">
        <v>2089583</v>
      </c>
      <c r="U25" s="9">
        <v>30</v>
      </c>
      <c r="V25" s="9">
        <v>208218</v>
      </c>
      <c r="W25" s="9">
        <v>781381.5</v>
      </c>
      <c r="X25" s="9">
        <v>255045</v>
      </c>
      <c r="Y25" s="9">
        <v>440601</v>
      </c>
      <c r="Z25" s="9"/>
      <c r="AA25" s="9"/>
      <c r="AB25" s="9">
        <v>253783</v>
      </c>
      <c r="AC25" s="9">
        <v>3127114</v>
      </c>
      <c r="AD25" s="9">
        <v>103845</v>
      </c>
      <c r="AE25" s="10">
        <f>SUM(B25:AD25)</f>
        <v>19130697.5</v>
      </c>
    </row>
    <row r="26" spans="1:31" x14ac:dyDescent="0.25">
      <c r="A26" s="26" t="s">
        <v>236</v>
      </c>
      <c r="B26" s="9">
        <v>31512</v>
      </c>
      <c r="C26" s="9"/>
      <c r="D26" s="9">
        <v>906789</v>
      </c>
      <c r="E26" s="9">
        <v>724551</v>
      </c>
      <c r="F26" s="9">
        <v>62481</v>
      </c>
      <c r="G26" s="9">
        <v>168600</v>
      </c>
      <c r="H26" s="9">
        <v>224167</v>
      </c>
      <c r="I26" s="9"/>
      <c r="J26" s="9">
        <v>8761</v>
      </c>
      <c r="K26" s="9">
        <v>-27517</v>
      </c>
      <c r="L26" s="9">
        <v>-2396259</v>
      </c>
      <c r="M26" s="9">
        <v>235170</v>
      </c>
      <c r="N26" s="9">
        <v>13362</v>
      </c>
      <c r="O26" s="9">
        <v>76022</v>
      </c>
      <c r="P26" s="9"/>
      <c r="Q26" s="9">
        <v>586617</v>
      </c>
      <c r="R26" s="9">
        <v>1334207</v>
      </c>
      <c r="S26" s="9">
        <v>3056650</v>
      </c>
      <c r="T26" s="9">
        <v>1923516</v>
      </c>
      <c r="U26" s="9">
        <v>29</v>
      </c>
      <c r="V26" s="9">
        <v>151209</v>
      </c>
      <c r="W26" s="9">
        <v>-370093.6</v>
      </c>
      <c r="X26" s="9">
        <v>68244</v>
      </c>
      <c r="Y26" s="9">
        <v>420543</v>
      </c>
      <c r="Z26" s="9"/>
      <c r="AA26" s="9"/>
      <c r="AB26" s="9">
        <v>17026</v>
      </c>
      <c r="AC26" s="9">
        <v>2615530</v>
      </c>
      <c r="AD26" s="9">
        <v>74844</v>
      </c>
      <c r="AE26" s="10">
        <f>SUM(B26:AD26)</f>
        <v>9905960.4000000004</v>
      </c>
    </row>
    <row r="27" spans="1:31" x14ac:dyDescent="0.25">
      <c r="A27" s="24"/>
    </row>
    <row r="28" spans="1:31" x14ac:dyDescent="0.25">
      <c r="A28" s="25" t="s">
        <v>231</v>
      </c>
    </row>
    <row r="29" spans="1:31" x14ac:dyDescent="0.25">
      <c r="A29" s="3" t="s">
        <v>0</v>
      </c>
      <c r="B29" s="65" t="s">
        <v>1</v>
      </c>
      <c r="C29" s="65" t="s">
        <v>2</v>
      </c>
      <c r="D29" s="65" t="s">
        <v>3</v>
      </c>
      <c r="E29" s="65" t="s">
        <v>4</v>
      </c>
      <c r="F29" s="65" t="s">
        <v>5</v>
      </c>
      <c r="G29" s="65" t="s">
        <v>6</v>
      </c>
      <c r="H29" s="65" t="s">
        <v>7</v>
      </c>
      <c r="I29" s="65" t="s">
        <v>8</v>
      </c>
      <c r="J29" s="65" t="s">
        <v>9</v>
      </c>
      <c r="K29" s="65" t="s">
        <v>10</v>
      </c>
      <c r="L29" s="65" t="s">
        <v>11</v>
      </c>
      <c r="M29" s="65" t="s">
        <v>12</v>
      </c>
      <c r="N29" s="65" t="s">
        <v>13</v>
      </c>
      <c r="O29" s="65" t="s">
        <v>14</v>
      </c>
      <c r="P29" s="65" t="s">
        <v>15</v>
      </c>
      <c r="Q29" s="65" t="s">
        <v>16</v>
      </c>
      <c r="R29" s="65" t="s">
        <v>17</v>
      </c>
      <c r="S29" s="65" t="s">
        <v>18</v>
      </c>
      <c r="T29" s="65" t="s">
        <v>19</v>
      </c>
      <c r="U29" s="65" t="s">
        <v>20</v>
      </c>
      <c r="V29" s="65" t="s">
        <v>21</v>
      </c>
      <c r="W29" s="65" t="s">
        <v>22</v>
      </c>
      <c r="X29" s="65" t="s">
        <v>23</v>
      </c>
      <c r="Y29" s="65" t="s">
        <v>24</v>
      </c>
      <c r="Z29" s="65" t="s">
        <v>25</v>
      </c>
      <c r="AA29" s="65" t="s">
        <v>26</v>
      </c>
      <c r="AB29" s="65" t="s">
        <v>27</v>
      </c>
      <c r="AC29" s="64" t="s">
        <v>28</v>
      </c>
      <c r="AD29" s="65" t="s">
        <v>29</v>
      </c>
      <c r="AE29" s="40" t="s">
        <v>30</v>
      </c>
    </row>
    <row r="30" spans="1:31" x14ac:dyDescent="0.25">
      <c r="A30" s="26" t="s">
        <v>235</v>
      </c>
      <c r="B30" s="9">
        <v>1033</v>
      </c>
      <c r="C30" s="9"/>
      <c r="D30" s="9">
        <v>75339</v>
      </c>
      <c r="E30" s="9">
        <v>194125</v>
      </c>
      <c r="F30" s="9">
        <v>13395</v>
      </c>
      <c r="G30" s="9">
        <v>14189</v>
      </c>
      <c r="H30" s="9">
        <v>22876</v>
      </c>
      <c r="I30" s="9"/>
      <c r="J30" s="9">
        <v>68543</v>
      </c>
      <c r="K30" s="9">
        <v>2211</v>
      </c>
      <c r="L30" s="9">
        <v>343393</v>
      </c>
      <c r="M30" s="9">
        <v>33352</v>
      </c>
      <c r="N30" s="9"/>
      <c r="O30" s="9">
        <v>17434</v>
      </c>
      <c r="P30" s="9">
        <v>3842</v>
      </c>
      <c r="Q30" s="9">
        <v>4512</v>
      </c>
      <c r="R30" s="9">
        <v>200872</v>
      </c>
      <c r="S30" s="9">
        <v>332452</v>
      </c>
      <c r="T30" s="9">
        <v>170576</v>
      </c>
      <c r="U30" s="9">
        <v>121</v>
      </c>
      <c r="V30" s="9">
        <v>29727</v>
      </c>
      <c r="W30" s="9">
        <v>80476.3</v>
      </c>
      <c r="X30" s="9">
        <v>47318</v>
      </c>
      <c r="Y30" s="9">
        <v>302529</v>
      </c>
      <c r="Z30" s="9">
        <v>5534</v>
      </c>
      <c r="AA30" s="9"/>
      <c r="AB30" s="9">
        <v>117468</v>
      </c>
      <c r="AC30" s="9">
        <v>270782</v>
      </c>
      <c r="AD30" s="9">
        <v>9427</v>
      </c>
      <c r="AE30" s="10">
        <f>SUM(B30:AD30)</f>
        <v>2361526.2999999998</v>
      </c>
    </row>
    <row r="31" spans="1:31" x14ac:dyDescent="0.25">
      <c r="A31" s="26" t="s">
        <v>236</v>
      </c>
      <c r="B31" s="9">
        <v>985</v>
      </c>
      <c r="C31" s="9"/>
      <c r="D31" s="9">
        <v>30500</v>
      </c>
      <c r="E31" s="9">
        <v>178457</v>
      </c>
      <c r="F31" s="9">
        <v>12371</v>
      </c>
      <c r="G31" s="9">
        <v>-6311</v>
      </c>
      <c r="H31" s="9">
        <v>21745</v>
      </c>
      <c r="I31" s="9"/>
      <c r="J31" s="9">
        <v>57158</v>
      </c>
      <c r="K31" s="9">
        <v>1933</v>
      </c>
      <c r="L31" s="9">
        <v>-250215</v>
      </c>
      <c r="M31" s="9">
        <v>24756</v>
      </c>
      <c r="N31" s="9">
        <v>-7541</v>
      </c>
      <c r="O31" s="9">
        <v>16380</v>
      </c>
      <c r="P31" s="9">
        <v>1926</v>
      </c>
      <c r="Q31" s="9">
        <v>3093</v>
      </c>
      <c r="R31" s="9">
        <v>200872</v>
      </c>
      <c r="S31" s="9">
        <v>324921</v>
      </c>
      <c r="T31" s="9">
        <v>-39540</v>
      </c>
      <c r="U31" s="9">
        <v>-305</v>
      </c>
      <c r="V31" s="9">
        <v>20355</v>
      </c>
      <c r="W31" s="9">
        <v>-40500.699999999997</v>
      </c>
      <c r="X31" s="9">
        <v>39790</v>
      </c>
      <c r="Y31" s="9">
        <v>269810</v>
      </c>
      <c r="Z31" s="9">
        <v>-14031</v>
      </c>
      <c r="AA31" s="9"/>
      <c r="AB31" s="9">
        <v>40237</v>
      </c>
      <c r="AC31" s="9">
        <v>128472</v>
      </c>
      <c r="AD31" s="9">
        <v>1736</v>
      </c>
      <c r="AE31" s="10">
        <f>SUM(B31:AD31)</f>
        <v>1017053.3</v>
      </c>
    </row>
    <row r="32" spans="1:31" x14ac:dyDescent="0.25">
      <c r="A32" s="24"/>
    </row>
    <row r="33" spans="1:31" x14ac:dyDescent="0.25">
      <c r="A33" s="25" t="s">
        <v>232</v>
      </c>
    </row>
    <row r="34" spans="1:31" x14ac:dyDescent="0.25">
      <c r="A34" s="3" t="s">
        <v>0</v>
      </c>
      <c r="B34" s="65" t="s">
        <v>1</v>
      </c>
      <c r="C34" s="65" t="s">
        <v>2</v>
      </c>
      <c r="D34" s="65" t="s">
        <v>3</v>
      </c>
      <c r="E34" s="65" t="s">
        <v>4</v>
      </c>
      <c r="F34" s="65" t="s">
        <v>5</v>
      </c>
      <c r="G34" s="65" t="s">
        <v>6</v>
      </c>
      <c r="H34" s="65" t="s">
        <v>7</v>
      </c>
      <c r="I34" s="65" t="s">
        <v>8</v>
      </c>
      <c r="J34" s="65" t="s">
        <v>9</v>
      </c>
      <c r="K34" s="65" t="s">
        <v>10</v>
      </c>
      <c r="L34" s="65" t="s">
        <v>11</v>
      </c>
      <c r="M34" s="65" t="s">
        <v>12</v>
      </c>
      <c r="N34" s="65" t="s">
        <v>13</v>
      </c>
      <c r="O34" s="65" t="s">
        <v>14</v>
      </c>
      <c r="P34" s="65" t="s">
        <v>15</v>
      </c>
      <c r="Q34" s="65" t="s">
        <v>16</v>
      </c>
      <c r="R34" s="65" t="s">
        <v>17</v>
      </c>
      <c r="S34" s="65" t="s">
        <v>18</v>
      </c>
      <c r="T34" s="65" t="s">
        <v>19</v>
      </c>
      <c r="U34" s="65" t="s">
        <v>20</v>
      </c>
      <c r="V34" s="65" t="s">
        <v>21</v>
      </c>
      <c r="W34" s="65" t="s">
        <v>22</v>
      </c>
      <c r="X34" s="65" t="s">
        <v>23</v>
      </c>
      <c r="Y34" s="65" t="s">
        <v>24</v>
      </c>
      <c r="Z34" s="65" t="s">
        <v>25</v>
      </c>
      <c r="AA34" s="65" t="s">
        <v>26</v>
      </c>
      <c r="AB34" s="65" t="s">
        <v>27</v>
      </c>
      <c r="AC34" s="64" t="s">
        <v>28</v>
      </c>
      <c r="AD34" s="65" t="s">
        <v>29</v>
      </c>
      <c r="AE34" s="40" t="s">
        <v>30</v>
      </c>
    </row>
    <row r="35" spans="1:31" x14ac:dyDescent="0.25">
      <c r="A35" s="26" t="s">
        <v>235</v>
      </c>
      <c r="B35" s="9"/>
      <c r="C35" s="9"/>
      <c r="D35" s="9"/>
      <c r="E35" s="9">
        <v>30511</v>
      </c>
      <c r="F35" s="9">
        <v>21632</v>
      </c>
      <c r="G35" s="9">
        <v>7374</v>
      </c>
      <c r="H35" s="9"/>
      <c r="I35" s="9"/>
      <c r="J35" s="9">
        <v>22277</v>
      </c>
      <c r="K35" s="9">
        <v>762</v>
      </c>
      <c r="L35" s="9">
        <v>12043</v>
      </c>
      <c r="M35" s="9">
        <v>28770</v>
      </c>
      <c r="N35" s="9"/>
      <c r="O35" s="9">
        <v>1935</v>
      </c>
      <c r="P35" s="9">
        <v>83</v>
      </c>
      <c r="Q35" s="9"/>
      <c r="R35" s="9">
        <v>51908</v>
      </c>
      <c r="S35" s="9">
        <v>651928</v>
      </c>
      <c r="T35" s="9">
        <v>86305</v>
      </c>
      <c r="U35" s="9">
        <v>7265</v>
      </c>
      <c r="V35" s="9">
        <v>13407</v>
      </c>
      <c r="W35" s="9"/>
      <c r="X35" s="9">
        <v>7263</v>
      </c>
      <c r="Y35" s="9">
        <v>4730</v>
      </c>
      <c r="Z35" s="9">
        <v>356</v>
      </c>
      <c r="AA35" s="9"/>
      <c r="AB35" s="9">
        <v>332150</v>
      </c>
      <c r="AC35" s="9">
        <v>115569</v>
      </c>
      <c r="AD35" s="9">
        <v>294</v>
      </c>
      <c r="AE35" s="10">
        <f>SUM(B35:AD35)</f>
        <v>1396562</v>
      </c>
    </row>
    <row r="36" spans="1:31" x14ac:dyDescent="0.25">
      <c r="A36" s="26" t="s">
        <v>236</v>
      </c>
      <c r="B36" s="9"/>
      <c r="C36" s="9"/>
      <c r="D36" s="9"/>
      <c r="E36" s="9">
        <v>184</v>
      </c>
      <c r="F36" s="9">
        <v>5918</v>
      </c>
      <c r="G36" s="9">
        <v>-12485</v>
      </c>
      <c r="H36" s="9"/>
      <c r="I36" s="9"/>
      <c r="J36" s="9">
        <v>16292</v>
      </c>
      <c r="K36" s="9">
        <v>612</v>
      </c>
      <c r="L36" s="9">
        <v>8543</v>
      </c>
      <c r="M36" s="9">
        <v>22399</v>
      </c>
      <c r="N36" s="9"/>
      <c r="O36" s="9">
        <v>1774</v>
      </c>
      <c r="P36" s="9">
        <v>162</v>
      </c>
      <c r="Q36" s="9"/>
      <c r="R36" s="9">
        <v>51908</v>
      </c>
      <c r="S36" s="9">
        <v>601741</v>
      </c>
      <c r="T36" s="9">
        <v>80472</v>
      </c>
      <c r="U36" s="9">
        <v>8424</v>
      </c>
      <c r="V36" s="9">
        <v>-1191</v>
      </c>
      <c r="W36" s="9"/>
      <c r="X36" s="9">
        <v>-248</v>
      </c>
      <c r="Y36" s="9">
        <v>-3666</v>
      </c>
      <c r="Z36" s="9">
        <v>312</v>
      </c>
      <c r="AA36" s="9"/>
      <c r="AB36" s="9">
        <v>329289</v>
      </c>
      <c r="AC36" s="9">
        <v>103028</v>
      </c>
      <c r="AD36" s="9">
        <v>180</v>
      </c>
      <c r="AE36" s="10">
        <f>SUM(B36:AD36)</f>
        <v>1213648</v>
      </c>
    </row>
    <row r="37" spans="1:31" x14ac:dyDescent="0.25">
      <c r="A37" s="27"/>
    </row>
    <row r="38" spans="1:31" x14ac:dyDescent="0.25">
      <c r="A38" s="28" t="s">
        <v>233</v>
      </c>
    </row>
    <row r="39" spans="1:31" x14ac:dyDescent="0.25">
      <c r="A39" s="3" t="s">
        <v>0</v>
      </c>
      <c r="B39" s="65" t="s">
        <v>1</v>
      </c>
      <c r="C39" s="65" t="s">
        <v>2</v>
      </c>
      <c r="D39" s="65" t="s">
        <v>3</v>
      </c>
      <c r="E39" s="65" t="s">
        <v>4</v>
      </c>
      <c r="F39" s="65" t="s">
        <v>5</v>
      </c>
      <c r="G39" s="65" t="s">
        <v>6</v>
      </c>
      <c r="H39" s="65" t="s">
        <v>7</v>
      </c>
      <c r="I39" s="65" t="s">
        <v>8</v>
      </c>
      <c r="J39" s="65" t="s">
        <v>9</v>
      </c>
      <c r="K39" s="65" t="s">
        <v>10</v>
      </c>
      <c r="L39" s="65" t="s">
        <v>11</v>
      </c>
      <c r="M39" s="65" t="s">
        <v>12</v>
      </c>
      <c r="N39" s="65" t="s">
        <v>13</v>
      </c>
      <c r="O39" s="65" t="s">
        <v>14</v>
      </c>
      <c r="P39" s="65" t="s">
        <v>15</v>
      </c>
      <c r="Q39" s="65" t="s">
        <v>16</v>
      </c>
      <c r="R39" s="65" t="s">
        <v>17</v>
      </c>
      <c r="S39" s="65" t="s">
        <v>18</v>
      </c>
      <c r="T39" s="65" t="s">
        <v>19</v>
      </c>
      <c r="U39" s="65" t="s">
        <v>20</v>
      </c>
      <c r="V39" s="65" t="s">
        <v>21</v>
      </c>
      <c r="W39" s="65" t="s">
        <v>22</v>
      </c>
      <c r="X39" s="65" t="s">
        <v>23</v>
      </c>
      <c r="Y39" s="65" t="s">
        <v>24</v>
      </c>
      <c r="Z39" s="65" t="s">
        <v>25</v>
      </c>
      <c r="AA39" s="65" t="s">
        <v>26</v>
      </c>
      <c r="AB39" s="65" t="s">
        <v>27</v>
      </c>
      <c r="AC39" s="64" t="s">
        <v>28</v>
      </c>
      <c r="AD39" s="65" t="s">
        <v>29</v>
      </c>
      <c r="AE39" s="40" t="s">
        <v>30</v>
      </c>
    </row>
    <row r="40" spans="1:31" x14ac:dyDescent="0.25">
      <c r="A40" s="26" t="s">
        <v>235</v>
      </c>
      <c r="B40" s="9"/>
      <c r="C40" s="9"/>
      <c r="D40" s="9"/>
      <c r="E40" s="9">
        <v>1595</v>
      </c>
      <c r="F40" s="9"/>
      <c r="G40" s="9"/>
      <c r="H40" s="9"/>
      <c r="I40" s="9"/>
      <c r="J40" s="9">
        <v>52</v>
      </c>
      <c r="K40" s="9"/>
      <c r="L40" s="9">
        <v>15145</v>
      </c>
      <c r="M40" s="70">
        <v>389</v>
      </c>
      <c r="N40" s="9"/>
      <c r="O40" s="9"/>
      <c r="P40" s="9"/>
      <c r="Q40" s="9"/>
      <c r="R40" s="9">
        <v>3139</v>
      </c>
      <c r="S40" s="9">
        <v>6686</v>
      </c>
      <c r="T40" s="9">
        <v>10279</v>
      </c>
      <c r="U40" s="9"/>
      <c r="V40" s="9">
        <v>529</v>
      </c>
      <c r="W40" s="9"/>
      <c r="X40" s="9"/>
      <c r="Y40" s="9"/>
      <c r="Z40" s="9"/>
      <c r="AA40" s="9"/>
      <c r="AB40" s="9">
        <v>1218</v>
      </c>
      <c r="AC40" s="9">
        <v>13083</v>
      </c>
      <c r="AD40" s="9"/>
      <c r="AE40" s="10">
        <f>SUM(B40:AD40)</f>
        <v>52115</v>
      </c>
    </row>
    <row r="41" spans="1:31" x14ac:dyDescent="0.25">
      <c r="A41" s="26" t="s">
        <v>236</v>
      </c>
      <c r="B41" s="9"/>
      <c r="C41" s="9"/>
      <c r="D41" s="9"/>
      <c r="E41" s="9">
        <v>-2173</v>
      </c>
      <c r="F41" s="9"/>
      <c r="G41" s="9"/>
      <c r="H41" s="9"/>
      <c r="I41" s="9"/>
      <c r="J41" s="9">
        <v>-231</v>
      </c>
      <c r="K41" s="9"/>
      <c r="L41" s="9">
        <v>81756</v>
      </c>
      <c r="M41" s="70">
        <v>-450</v>
      </c>
      <c r="N41" s="9"/>
      <c r="O41" s="9"/>
      <c r="P41" s="9"/>
      <c r="Q41" s="9"/>
      <c r="R41" s="9">
        <v>2048</v>
      </c>
      <c r="S41" s="9">
        <v>78223</v>
      </c>
      <c r="T41" s="9">
        <v>24202</v>
      </c>
      <c r="U41" s="9"/>
      <c r="V41" s="9">
        <v>-2570</v>
      </c>
      <c r="W41" s="9"/>
      <c r="X41" s="9"/>
      <c r="Y41" s="9">
        <v>4</v>
      </c>
      <c r="Z41" s="9"/>
      <c r="AA41" s="9"/>
      <c r="AB41" s="9">
        <v>-1060</v>
      </c>
      <c r="AC41" s="9">
        <v>-12236</v>
      </c>
      <c r="AD41" s="9"/>
      <c r="AE41" s="10">
        <f>SUM(B41:AD41)</f>
        <v>167513</v>
      </c>
    </row>
    <row r="42" spans="1:31" x14ac:dyDescent="0.25">
      <c r="A42" s="24"/>
    </row>
    <row r="43" spans="1:31" x14ac:dyDescent="0.25">
      <c r="A43" s="25" t="s">
        <v>234</v>
      </c>
    </row>
    <row r="44" spans="1:31" x14ac:dyDescent="0.25">
      <c r="A44" s="3" t="s">
        <v>0</v>
      </c>
      <c r="B44" s="65" t="s">
        <v>1</v>
      </c>
      <c r="C44" s="65" t="s">
        <v>2</v>
      </c>
      <c r="D44" s="65" t="s">
        <v>3</v>
      </c>
      <c r="E44" s="65" t="s">
        <v>4</v>
      </c>
      <c r="F44" s="65" t="s">
        <v>5</v>
      </c>
      <c r="G44" s="65" t="s">
        <v>6</v>
      </c>
      <c r="H44" s="65" t="s">
        <v>7</v>
      </c>
      <c r="I44" s="65" t="s">
        <v>8</v>
      </c>
      <c r="J44" s="65" t="s">
        <v>9</v>
      </c>
      <c r="K44" s="65" t="s">
        <v>10</v>
      </c>
      <c r="L44" s="65" t="s">
        <v>11</v>
      </c>
      <c r="M44" s="65" t="s">
        <v>12</v>
      </c>
      <c r="N44" s="65" t="s">
        <v>13</v>
      </c>
      <c r="O44" s="65" t="s">
        <v>14</v>
      </c>
      <c r="P44" s="65" t="s">
        <v>15</v>
      </c>
      <c r="Q44" s="65" t="s">
        <v>16</v>
      </c>
      <c r="R44" s="65" t="s">
        <v>17</v>
      </c>
      <c r="S44" s="65" t="s">
        <v>18</v>
      </c>
      <c r="T44" s="65" t="s">
        <v>19</v>
      </c>
      <c r="U44" s="65" t="s">
        <v>20</v>
      </c>
      <c r="V44" s="65" t="s">
        <v>21</v>
      </c>
      <c r="W44" s="65" t="s">
        <v>22</v>
      </c>
      <c r="X44" s="65" t="s">
        <v>23</v>
      </c>
      <c r="Y44" s="65" t="s">
        <v>24</v>
      </c>
      <c r="Z44" s="65" t="s">
        <v>25</v>
      </c>
      <c r="AA44" s="65" t="s">
        <v>26</v>
      </c>
      <c r="AB44" s="65" t="s">
        <v>27</v>
      </c>
      <c r="AC44" s="64" t="s">
        <v>28</v>
      </c>
      <c r="AD44" s="65" t="s">
        <v>29</v>
      </c>
      <c r="AE44" s="40" t="s">
        <v>30</v>
      </c>
    </row>
    <row r="45" spans="1:31" x14ac:dyDescent="0.25">
      <c r="A45" s="26" t="s">
        <v>235</v>
      </c>
      <c r="B45" s="9">
        <f>B50-B40-B35-B30-B25-B20-B15-B10-B5</f>
        <v>0</v>
      </c>
      <c r="C45" s="9">
        <f t="shared" ref="C45:AD45" si="0">C50-C40-C35-C30-C25-C20-C15-C10-C5</f>
        <v>33247</v>
      </c>
      <c r="D45" s="9">
        <f t="shared" si="0"/>
        <v>12528</v>
      </c>
      <c r="E45" s="9">
        <f t="shared" si="0"/>
        <v>605964</v>
      </c>
      <c r="F45" s="9">
        <f t="shared" si="0"/>
        <v>14960</v>
      </c>
      <c r="G45" s="9">
        <f t="shared" si="0"/>
        <v>76130</v>
      </c>
      <c r="H45" s="9">
        <f t="shared" si="0"/>
        <v>0</v>
      </c>
      <c r="I45" s="9">
        <f t="shared" si="0"/>
        <v>34303.81</v>
      </c>
      <c r="J45" s="9">
        <f t="shared" si="0"/>
        <v>127468</v>
      </c>
      <c r="K45" s="9">
        <f t="shared" si="0"/>
        <v>3657</v>
      </c>
      <c r="L45" s="9">
        <f t="shared" si="0"/>
        <v>463978</v>
      </c>
      <c r="M45" s="9">
        <f t="shared" si="0"/>
        <v>186777</v>
      </c>
      <c r="N45" s="9">
        <f t="shared" si="0"/>
        <v>7</v>
      </c>
      <c r="O45" s="9">
        <f t="shared" si="0"/>
        <v>33101</v>
      </c>
      <c r="P45" s="9">
        <f t="shared" si="0"/>
        <v>16259</v>
      </c>
      <c r="Q45" s="9">
        <f t="shared" si="0"/>
        <v>0</v>
      </c>
      <c r="R45" s="9">
        <f t="shared" si="0"/>
        <v>734606</v>
      </c>
      <c r="S45" s="9">
        <f t="shared" si="0"/>
        <v>1120480</v>
      </c>
      <c r="T45" s="9">
        <f t="shared" si="0"/>
        <v>596430</v>
      </c>
      <c r="U45" s="9">
        <f t="shared" si="0"/>
        <v>36706</v>
      </c>
      <c r="V45" s="9">
        <f t="shared" si="0"/>
        <v>46199</v>
      </c>
      <c r="W45" s="9">
        <f t="shared" si="0"/>
        <v>26831.79999999993</v>
      </c>
      <c r="X45" s="9">
        <f t="shared" si="0"/>
        <v>14349</v>
      </c>
      <c r="Y45" s="9">
        <f t="shared" si="0"/>
        <v>70877</v>
      </c>
      <c r="Z45" s="9">
        <f t="shared" si="0"/>
        <v>9188</v>
      </c>
      <c r="AA45" s="9">
        <f t="shared" si="0"/>
        <v>3356042</v>
      </c>
      <c r="AB45" s="9">
        <f t="shared" si="0"/>
        <v>127662</v>
      </c>
      <c r="AC45" s="9">
        <f t="shared" si="0"/>
        <v>969498</v>
      </c>
      <c r="AD45" s="9">
        <f t="shared" si="0"/>
        <v>94287</v>
      </c>
      <c r="AE45" s="10">
        <f>SUM(B45:AD45)</f>
        <v>8811535.6099999994</v>
      </c>
    </row>
    <row r="46" spans="1:31" x14ac:dyDescent="0.25">
      <c r="A46" s="26" t="s">
        <v>236</v>
      </c>
      <c r="B46" s="9">
        <f>B51-B41-B36-B31-B26-B21-B16-B11-B6</f>
        <v>0</v>
      </c>
      <c r="C46" s="9">
        <f t="shared" ref="C46:AD46" si="1">C51-C41-C36-C31-C26-C21-C16-C11-C6</f>
        <v>-5944947</v>
      </c>
      <c r="D46" s="9">
        <f t="shared" si="1"/>
        <v>11661</v>
      </c>
      <c r="E46" s="9">
        <f t="shared" si="1"/>
        <v>-1419439</v>
      </c>
      <c r="F46" s="9">
        <f t="shared" si="1"/>
        <v>1042</v>
      </c>
      <c r="G46" s="9">
        <f t="shared" si="1"/>
        <v>-425098</v>
      </c>
      <c r="H46" s="9">
        <f t="shared" si="1"/>
        <v>1</v>
      </c>
      <c r="I46" s="9">
        <f t="shared" si="1"/>
        <v>-700480.73</v>
      </c>
      <c r="J46" s="9">
        <f t="shared" si="1"/>
        <v>-94377</v>
      </c>
      <c r="K46" s="9">
        <f t="shared" si="1"/>
        <v>2498</v>
      </c>
      <c r="L46" s="9">
        <f t="shared" si="1"/>
        <v>-1179008</v>
      </c>
      <c r="M46" s="9">
        <f t="shared" si="1"/>
        <v>-1289040</v>
      </c>
      <c r="N46" s="9">
        <f t="shared" si="1"/>
        <v>2</v>
      </c>
      <c r="O46" s="9">
        <f t="shared" si="1"/>
        <v>25162</v>
      </c>
      <c r="P46" s="9">
        <f t="shared" si="1"/>
        <v>-14722</v>
      </c>
      <c r="Q46" s="9">
        <f t="shared" si="1"/>
        <v>0</v>
      </c>
      <c r="R46" s="9">
        <f t="shared" si="1"/>
        <v>182552</v>
      </c>
      <c r="S46" s="9">
        <f t="shared" si="1"/>
        <v>608150</v>
      </c>
      <c r="T46" s="9">
        <f t="shared" si="1"/>
        <v>597449</v>
      </c>
      <c r="U46" s="9">
        <f t="shared" si="1"/>
        <v>45231</v>
      </c>
      <c r="V46" s="9">
        <f t="shared" si="1"/>
        <v>-1368988</v>
      </c>
      <c r="W46" s="9">
        <f t="shared" si="1"/>
        <v>-19661.700000000012</v>
      </c>
      <c r="X46" s="9">
        <f t="shared" si="1"/>
        <v>5364</v>
      </c>
      <c r="Y46" s="9">
        <f t="shared" si="1"/>
        <v>-161348</v>
      </c>
      <c r="Z46" s="9">
        <f t="shared" si="1"/>
        <v>-137505</v>
      </c>
      <c r="AA46" s="9">
        <f t="shared" si="1"/>
        <v>952942</v>
      </c>
      <c r="AB46" s="9">
        <f t="shared" si="1"/>
        <v>-226065</v>
      </c>
      <c r="AC46" s="9">
        <f t="shared" si="1"/>
        <v>563208</v>
      </c>
      <c r="AD46" s="9">
        <f t="shared" si="1"/>
        <v>-200444</v>
      </c>
      <c r="AE46" s="10">
        <f>SUM(B46:AD46)</f>
        <v>-10185861.43</v>
      </c>
    </row>
    <row r="47" spans="1:31" x14ac:dyDescent="0.25">
      <c r="A47" s="24"/>
    </row>
    <row r="48" spans="1:31" x14ac:dyDescent="0.25">
      <c r="A48" s="25" t="s">
        <v>51</v>
      </c>
    </row>
    <row r="49" spans="1:31" x14ac:dyDescent="0.25">
      <c r="A49" s="3" t="s">
        <v>0</v>
      </c>
      <c r="B49" s="65" t="s">
        <v>1</v>
      </c>
      <c r="C49" s="65" t="s">
        <v>2</v>
      </c>
      <c r="D49" s="65" t="s">
        <v>3</v>
      </c>
      <c r="E49" s="65" t="s">
        <v>4</v>
      </c>
      <c r="F49" s="65" t="s">
        <v>5</v>
      </c>
      <c r="G49" s="65" t="s">
        <v>6</v>
      </c>
      <c r="H49" s="65" t="s">
        <v>7</v>
      </c>
      <c r="I49" s="65" t="s">
        <v>8</v>
      </c>
      <c r="J49" s="65" t="s">
        <v>9</v>
      </c>
      <c r="K49" s="65" t="s">
        <v>10</v>
      </c>
      <c r="L49" s="65" t="s">
        <v>11</v>
      </c>
      <c r="M49" s="65" t="s">
        <v>12</v>
      </c>
      <c r="N49" s="65" t="s">
        <v>13</v>
      </c>
      <c r="O49" s="65" t="s">
        <v>14</v>
      </c>
      <c r="P49" s="65" t="s">
        <v>15</v>
      </c>
      <c r="Q49" s="65" t="s">
        <v>16</v>
      </c>
      <c r="R49" s="65" t="s">
        <v>17</v>
      </c>
      <c r="S49" s="65" t="s">
        <v>18</v>
      </c>
      <c r="T49" s="65" t="s">
        <v>19</v>
      </c>
      <c r="U49" s="65" t="s">
        <v>20</v>
      </c>
      <c r="V49" s="65" t="s">
        <v>21</v>
      </c>
      <c r="W49" s="65" t="s">
        <v>22</v>
      </c>
      <c r="X49" s="65" t="s">
        <v>23</v>
      </c>
      <c r="Y49" s="65" t="s">
        <v>24</v>
      </c>
      <c r="Z49" s="65" t="s">
        <v>25</v>
      </c>
      <c r="AA49" s="65" t="s">
        <v>26</v>
      </c>
      <c r="AB49" s="65" t="s">
        <v>27</v>
      </c>
      <c r="AC49" s="64" t="s">
        <v>28</v>
      </c>
      <c r="AD49" s="65" t="s">
        <v>29</v>
      </c>
      <c r="AE49" s="40" t="s">
        <v>30</v>
      </c>
    </row>
    <row r="50" spans="1:31" x14ac:dyDescent="0.25">
      <c r="A50" s="26" t="s">
        <v>235</v>
      </c>
      <c r="B50" s="9">
        <v>35273</v>
      </c>
      <c r="C50" s="9">
        <v>33247</v>
      </c>
      <c r="D50" s="9">
        <v>1465625</v>
      </c>
      <c r="E50" s="9">
        <v>3432649</v>
      </c>
      <c r="F50" s="9">
        <v>562683</v>
      </c>
      <c r="G50" s="9">
        <v>1073381</v>
      </c>
      <c r="H50" s="9">
        <v>261381</v>
      </c>
      <c r="I50" s="9">
        <v>34303.81</v>
      </c>
      <c r="J50" s="9">
        <v>832127</v>
      </c>
      <c r="K50" s="9">
        <v>168403</v>
      </c>
      <c r="L50" s="9">
        <v>4373263</v>
      </c>
      <c r="M50" s="9">
        <v>1645873</v>
      </c>
      <c r="N50" s="9">
        <v>49798</v>
      </c>
      <c r="O50" s="9">
        <v>292349</v>
      </c>
      <c r="P50" s="9">
        <v>172455</v>
      </c>
      <c r="Q50" s="9">
        <v>633960</v>
      </c>
      <c r="R50" s="9">
        <v>7101377</v>
      </c>
      <c r="S50" s="9">
        <v>15187280</v>
      </c>
      <c r="T50" s="9">
        <v>5974816</v>
      </c>
      <c r="U50" s="9">
        <v>47933</v>
      </c>
      <c r="V50" s="9">
        <v>1185271</v>
      </c>
      <c r="W50" s="9">
        <v>888689.6</v>
      </c>
      <c r="X50" s="9">
        <v>1175098</v>
      </c>
      <c r="Y50" s="9">
        <v>1707410</v>
      </c>
      <c r="Z50" s="9">
        <v>470611</v>
      </c>
      <c r="AA50" s="9">
        <v>3356042</v>
      </c>
      <c r="AB50" s="9">
        <v>2511139</v>
      </c>
      <c r="AC50" s="9">
        <v>7984569</v>
      </c>
      <c r="AD50" s="9">
        <v>435800</v>
      </c>
      <c r="AE50" s="10">
        <f>SUM(B50:AD50)</f>
        <v>63092806.410000004</v>
      </c>
    </row>
    <row r="51" spans="1:31" x14ac:dyDescent="0.25">
      <c r="A51" s="26" t="s">
        <v>236</v>
      </c>
      <c r="B51" s="9">
        <v>32497</v>
      </c>
      <c r="C51" s="9">
        <v>-5944947</v>
      </c>
      <c r="D51" s="9">
        <v>948950</v>
      </c>
      <c r="E51" s="9">
        <v>356263</v>
      </c>
      <c r="F51" s="9">
        <v>381344</v>
      </c>
      <c r="G51" s="9">
        <v>153090</v>
      </c>
      <c r="H51" s="9">
        <v>245913</v>
      </c>
      <c r="I51" s="9">
        <v>-700480.73</v>
      </c>
      <c r="J51" s="9">
        <v>-325207</v>
      </c>
      <c r="K51" s="9">
        <v>-83412</v>
      </c>
      <c r="L51" s="9">
        <v>-4341303</v>
      </c>
      <c r="M51" s="9">
        <v>-1862093</v>
      </c>
      <c r="N51" s="9">
        <v>36855</v>
      </c>
      <c r="O51" s="9">
        <v>218061</v>
      </c>
      <c r="P51" s="9">
        <v>38342</v>
      </c>
      <c r="Q51" s="9">
        <v>589710</v>
      </c>
      <c r="R51" s="9">
        <v>2892250</v>
      </c>
      <c r="S51" s="9">
        <v>13231383</v>
      </c>
      <c r="T51" s="9">
        <v>5002548</v>
      </c>
      <c r="U51" s="9">
        <v>52119</v>
      </c>
      <c r="V51" s="9">
        <v>-1690836</v>
      </c>
      <c r="W51" s="9">
        <v>-430256</v>
      </c>
      <c r="X51" s="9">
        <v>599066</v>
      </c>
      <c r="Y51" s="9">
        <v>211296</v>
      </c>
      <c r="Z51" s="9">
        <v>180796</v>
      </c>
      <c r="AA51" s="9">
        <v>952942</v>
      </c>
      <c r="AB51" s="9">
        <v>528840</v>
      </c>
      <c r="AC51" s="9">
        <v>6262658</v>
      </c>
      <c r="AD51" s="9">
        <v>-14624</v>
      </c>
      <c r="AE51" s="10">
        <f>SUM(B51:AD51)</f>
        <v>17521764.27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6" customWidth="1"/>
    <col min="2" max="30" width="16" style="6" customWidth="1"/>
    <col min="31" max="31" width="16" style="7" customWidth="1"/>
    <col min="32" max="16384" width="9.140625" style="6"/>
  </cols>
  <sheetData>
    <row r="1" spans="1:31" ht="18.75" x14ac:dyDescent="0.3">
      <c r="A1" s="4" t="s">
        <v>212</v>
      </c>
    </row>
    <row r="2" spans="1:31" x14ac:dyDescent="0.25">
      <c r="A2" s="5" t="s">
        <v>43</v>
      </c>
    </row>
    <row r="3" spans="1:31" x14ac:dyDescent="0.25">
      <c r="A3" s="1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  <c r="K3" s="65" t="s">
        <v>10</v>
      </c>
      <c r="L3" s="65" t="s">
        <v>11</v>
      </c>
      <c r="M3" s="65" t="s">
        <v>12</v>
      </c>
      <c r="N3" s="65" t="s">
        <v>13</v>
      </c>
      <c r="O3" s="65" t="s">
        <v>14</v>
      </c>
      <c r="P3" s="65" t="s">
        <v>15</v>
      </c>
      <c r="Q3" s="65" t="s">
        <v>16</v>
      </c>
      <c r="R3" s="65" t="s">
        <v>17</v>
      </c>
      <c r="S3" s="65" t="s">
        <v>18</v>
      </c>
      <c r="T3" s="65" t="s">
        <v>19</v>
      </c>
      <c r="U3" s="65" t="s">
        <v>20</v>
      </c>
      <c r="V3" s="65" t="s">
        <v>21</v>
      </c>
      <c r="W3" s="65" t="s">
        <v>22</v>
      </c>
      <c r="X3" s="65" t="s">
        <v>23</v>
      </c>
      <c r="Y3" s="65" t="s">
        <v>24</v>
      </c>
      <c r="Z3" s="65" t="s">
        <v>25</v>
      </c>
      <c r="AA3" s="65" t="s">
        <v>26</v>
      </c>
      <c r="AB3" s="65" t="s">
        <v>27</v>
      </c>
      <c r="AC3" s="64" t="s">
        <v>28</v>
      </c>
      <c r="AD3" s="65" t="s">
        <v>29</v>
      </c>
      <c r="AE3" s="53" t="s">
        <v>30</v>
      </c>
    </row>
    <row r="4" spans="1:31" x14ac:dyDescent="0.25">
      <c r="A4" s="22" t="s">
        <v>213</v>
      </c>
      <c r="B4" s="9">
        <v>396977</v>
      </c>
      <c r="C4" s="9">
        <v>357110</v>
      </c>
      <c r="D4" s="9">
        <v>1420922</v>
      </c>
      <c r="E4" s="9">
        <v>1376811</v>
      </c>
      <c r="F4" s="9">
        <v>1199079</v>
      </c>
      <c r="G4" s="9">
        <v>1178866</v>
      </c>
      <c r="H4" s="9">
        <v>783923</v>
      </c>
      <c r="I4" s="9">
        <v>1062246.3600000001</v>
      </c>
      <c r="J4" s="9">
        <v>1264666</v>
      </c>
      <c r="K4" s="9">
        <v>361935</v>
      </c>
      <c r="L4" s="9">
        <v>4468578</v>
      </c>
      <c r="M4" s="9">
        <v>1370800</v>
      </c>
      <c r="N4" s="9">
        <v>267082</v>
      </c>
      <c r="O4" s="9">
        <v>1018037</v>
      </c>
      <c r="P4" s="9">
        <f>16879+37077+414870</f>
        <v>468826</v>
      </c>
      <c r="Q4" s="9">
        <v>1144720</v>
      </c>
      <c r="R4" s="9">
        <v>21187098</v>
      </c>
      <c r="S4" s="9">
        <v>22154897</v>
      </c>
      <c r="T4" s="9">
        <v>21406972</v>
      </c>
      <c r="U4" s="9">
        <v>75415</v>
      </c>
      <c r="V4" s="9">
        <v>2250680</v>
      </c>
      <c r="W4" s="9">
        <v>1449377.2</v>
      </c>
      <c r="X4" s="9">
        <v>1218045</v>
      </c>
      <c r="Y4" s="9">
        <v>2037963</v>
      </c>
      <c r="Z4" s="9">
        <v>713463</v>
      </c>
      <c r="AA4" s="9">
        <v>4846436</v>
      </c>
      <c r="AB4" s="9">
        <v>2074644</v>
      </c>
      <c r="AC4" s="9">
        <v>20186972</v>
      </c>
      <c r="AD4" s="9">
        <v>559231</v>
      </c>
      <c r="AE4" s="10">
        <f t="shared" ref="AE4:AE17" si="0">SUM(B4:AD4)</f>
        <v>118301771.56</v>
      </c>
    </row>
    <row r="5" spans="1:31" x14ac:dyDescent="0.25">
      <c r="A5" s="22" t="s">
        <v>214</v>
      </c>
      <c r="B5" s="9">
        <v>30462</v>
      </c>
      <c r="C5" s="9">
        <v>35457</v>
      </c>
      <c r="D5" s="9">
        <v>113450</v>
      </c>
      <c r="E5" s="9">
        <v>80676</v>
      </c>
      <c r="F5" s="9">
        <v>86960</v>
      </c>
      <c r="G5" s="9">
        <v>156869</v>
      </c>
      <c r="H5" s="9">
        <v>57388</v>
      </c>
      <c r="I5" s="9">
        <v>101110.54</v>
      </c>
      <c r="J5" s="9">
        <v>67947</v>
      </c>
      <c r="K5" s="9">
        <v>35398</v>
      </c>
      <c r="L5" s="9">
        <v>327282</v>
      </c>
      <c r="M5" s="9">
        <v>106973</v>
      </c>
      <c r="N5" s="9">
        <v>11271</v>
      </c>
      <c r="O5" s="9">
        <v>82864</v>
      </c>
      <c r="P5" s="9">
        <f>1736+3811+42641</f>
        <v>48188</v>
      </c>
      <c r="Q5" s="9">
        <v>65479</v>
      </c>
      <c r="R5" s="9">
        <v>535993</v>
      </c>
      <c r="S5" s="9">
        <v>611968</v>
      </c>
      <c r="T5" s="9">
        <v>425962</v>
      </c>
      <c r="U5" s="9">
        <v>4512</v>
      </c>
      <c r="V5" s="9">
        <v>133715</v>
      </c>
      <c r="W5" s="9">
        <v>144468.29999999999</v>
      </c>
      <c r="X5" s="9">
        <v>76612</v>
      </c>
      <c r="Y5" s="9">
        <v>336305</v>
      </c>
      <c r="Z5" s="9">
        <v>94400</v>
      </c>
      <c r="AA5" s="9">
        <v>128360</v>
      </c>
      <c r="AB5" s="9">
        <v>136281</v>
      </c>
      <c r="AC5" s="9">
        <v>633247</v>
      </c>
      <c r="AD5" s="9">
        <v>59443</v>
      </c>
      <c r="AE5" s="10">
        <f t="shared" si="0"/>
        <v>4729040.84</v>
      </c>
    </row>
    <row r="6" spans="1:31" x14ac:dyDescent="0.25">
      <c r="A6" s="22" t="s">
        <v>215</v>
      </c>
      <c r="B6" s="9">
        <v>6257</v>
      </c>
      <c r="C6" s="9">
        <v>2017</v>
      </c>
      <c r="D6" s="9">
        <v>15359</v>
      </c>
      <c r="E6" s="9">
        <v>318</v>
      </c>
      <c r="F6" s="9">
        <v>753642</v>
      </c>
      <c r="G6" s="9">
        <v>27198</v>
      </c>
      <c r="H6" s="9">
        <v>35835</v>
      </c>
      <c r="I6" s="9">
        <v>15714.29</v>
      </c>
      <c r="J6" s="9">
        <v>162191</v>
      </c>
      <c r="K6" s="9">
        <v>447</v>
      </c>
      <c r="L6" s="9">
        <v>64045</v>
      </c>
      <c r="M6" s="9">
        <v>2416</v>
      </c>
      <c r="N6" s="9">
        <v>6726</v>
      </c>
      <c r="O6" s="9">
        <v>58798</v>
      </c>
      <c r="P6" s="9"/>
      <c r="Q6" s="9">
        <v>84960</v>
      </c>
      <c r="R6" s="9">
        <v>36840</v>
      </c>
      <c r="S6" s="9">
        <v>146172</v>
      </c>
      <c r="T6" s="9">
        <v>67290</v>
      </c>
      <c r="U6" s="9">
        <v>1255</v>
      </c>
      <c r="V6" s="9">
        <v>185834</v>
      </c>
      <c r="W6" s="9"/>
      <c r="X6" s="9">
        <v>6593</v>
      </c>
      <c r="Y6" s="9">
        <v>4190</v>
      </c>
      <c r="Z6" s="9">
        <v>6789</v>
      </c>
      <c r="AA6" s="9">
        <v>84040</v>
      </c>
      <c r="AB6" s="9">
        <v>96111</v>
      </c>
      <c r="AC6" s="9">
        <v>45305</v>
      </c>
      <c r="AD6" s="9">
        <v>1100</v>
      </c>
      <c r="AE6" s="10">
        <f t="shared" si="0"/>
        <v>1917442.29</v>
      </c>
    </row>
    <row r="7" spans="1:31" x14ac:dyDescent="0.25">
      <c r="A7" s="22" t="s">
        <v>216</v>
      </c>
      <c r="B7" s="9">
        <v>37113</v>
      </c>
      <c r="C7" s="9">
        <v>98650</v>
      </c>
      <c r="D7" s="9">
        <v>113186</v>
      </c>
      <c r="E7" s="9">
        <v>58138</v>
      </c>
      <c r="F7" s="9">
        <v>307581</v>
      </c>
      <c r="G7" s="9">
        <v>154940</v>
      </c>
      <c r="H7" s="9">
        <v>65503</v>
      </c>
      <c r="I7" s="9">
        <v>177198.89</v>
      </c>
      <c r="J7" s="9">
        <v>198212</v>
      </c>
      <c r="K7" s="9">
        <v>115095</v>
      </c>
      <c r="L7" s="9">
        <v>1035079</v>
      </c>
      <c r="M7" s="9">
        <v>360304</v>
      </c>
      <c r="N7" s="9">
        <v>30936</v>
      </c>
      <c r="O7" s="9">
        <v>142731</v>
      </c>
      <c r="P7" s="9">
        <f>1122+2465+27586</f>
        <v>31173</v>
      </c>
      <c r="Q7" s="9">
        <v>115645</v>
      </c>
      <c r="R7" s="9">
        <v>875008</v>
      </c>
      <c r="S7" s="9">
        <v>1131303</v>
      </c>
      <c r="T7" s="70">
        <v>781931</v>
      </c>
      <c r="U7" s="9">
        <v>11632</v>
      </c>
      <c r="V7" s="9">
        <v>254743</v>
      </c>
      <c r="W7" s="9">
        <v>80258.7</v>
      </c>
      <c r="X7" s="9">
        <v>140732</v>
      </c>
      <c r="Y7" s="9">
        <v>270322</v>
      </c>
      <c r="Z7" s="9">
        <v>82564</v>
      </c>
      <c r="AA7" s="9">
        <v>406656</v>
      </c>
      <c r="AB7" s="9">
        <v>1334050</v>
      </c>
      <c r="AC7" s="9">
        <v>871280</v>
      </c>
      <c r="AD7" s="9">
        <v>399152</v>
      </c>
      <c r="AE7" s="10">
        <f t="shared" si="0"/>
        <v>9681116.5899999999</v>
      </c>
    </row>
    <row r="8" spans="1:31" x14ac:dyDescent="0.25">
      <c r="A8" s="22" t="s">
        <v>217</v>
      </c>
      <c r="B8" s="9">
        <v>2852</v>
      </c>
      <c r="C8" s="9">
        <v>9505</v>
      </c>
      <c r="D8" s="9">
        <v>90305</v>
      </c>
      <c r="E8" s="9">
        <v>17481</v>
      </c>
      <c r="F8" s="9">
        <v>55618</v>
      </c>
      <c r="G8" s="9">
        <v>25308</v>
      </c>
      <c r="H8" s="9">
        <v>1947</v>
      </c>
      <c r="I8" s="9">
        <v>129446.67</v>
      </c>
      <c r="J8" s="9">
        <v>164656</v>
      </c>
      <c r="K8" s="9">
        <v>24942</v>
      </c>
      <c r="L8" s="9">
        <v>382021</v>
      </c>
      <c r="M8" s="9">
        <v>118719</v>
      </c>
      <c r="N8" s="9">
        <v>2834</v>
      </c>
      <c r="O8" s="9">
        <v>141761</v>
      </c>
      <c r="P8" s="9">
        <f>723+1587+17759</f>
        <v>20069</v>
      </c>
      <c r="Q8" s="9">
        <v>158158</v>
      </c>
      <c r="R8" s="9">
        <v>48810</v>
      </c>
      <c r="S8" s="9">
        <v>931935</v>
      </c>
      <c r="T8" s="70">
        <v>154750</v>
      </c>
      <c r="U8" s="9">
        <v>3764</v>
      </c>
      <c r="V8" s="9">
        <v>282933</v>
      </c>
      <c r="W8" s="9">
        <v>32776.699999999997</v>
      </c>
      <c r="X8" s="9">
        <v>43753</v>
      </c>
      <c r="Y8" s="9">
        <v>142304</v>
      </c>
      <c r="Z8" s="9">
        <v>17055</v>
      </c>
      <c r="AA8" s="9">
        <v>163112</v>
      </c>
      <c r="AB8" s="9">
        <v>64484</v>
      </c>
      <c r="AC8" s="9">
        <v>275495</v>
      </c>
      <c r="AD8" s="9">
        <v>108126</v>
      </c>
      <c r="AE8" s="10">
        <f t="shared" si="0"/>
        <v>3614920.37</v>
      </c>
    </row>
    <row r="9" spans="1:31" x14ac:dyDescent="0.25">
      <c r="A9" s="22" t="s">
        <v>218</v>
      </c>
      <c r="B9" s="9">
        <v>3394</v>
      </c>
      <c r="C9" s="9">
        <v>11793</v>
      </c>
      <c r="D9" s="9">
        <v>19702</v>
      </c>
      <c r="E9" s="9">
        <v>40679</v>
      </c>
      <c r="F9" s="9">
        <v>21789</v>
      </c>
      <c r="G9" s="9">
        <v>110057</v>
      </c>
      <c r="H9" s="9">
        <v>41898</v>
      </c>
      <c r="I9" s="9">
        <v>11066.56</v>
      </c>
      <c r="J9" s="9">
        <v>45954</v>
      </c>
      <c r="K9" s="9">
        <v>14273</v>
      </c>
      <c r="L9" s="9">
        <v>85375</v>
      </c>
      <c r="M9" s="9">
        <v>62246</v>
      </c>
      <c r="N9" s="9">
        <v>1669</v>
      </c>
      <c r="O9" s="9">
        <v>26380</v>
      </c>
      <c r="P9" s="9">
        <f>526+1233+13797</f>
        <v>15556</v>
      </c>
      <c r="Q9" s="9">
        <v>22154</v>
      </c>
      <c r="R9" s="9">
        <v>233789</v>
      </c>
      <c r="S9" s="9">
        <v>391502</v>
      </c>
      <c r="T9" s="70">
        <v>202971</v>
      </c>
      <c r="U9" s="9">
        <v>653</v>
      </c>
      <c r="V9" s="9">
        <v>66571</v>
      </c>
      <c r="W9" s="9">
        <v>44437.3</v>
      </c>
      <c r="X9" s="9">
        <v>53284</v>
      </c>
      <c r="Y9" s="9">
        <v>100701</v>
      </c>
      <c r="Z9" s="9">
        <v>40981</v>
      </c>
      <c r="AA9" s="9">
        <v>177382</v>
      </c>
      <c r="AB9" s="9">
        <v>68242</v>
      </c>
      <c r="AC9" s="9">
        <v>243668</v>
      </c>
      <c r="AD9" s="9">
        <v>29949</v>
      </c>
      <c r="AE9" s="10">
        <f t="shared" si="0"/>
        <v>2188115.8600000003</v>
      </c>
    </row>
    <row r="10" spans="1:31" x14ac:dyDescent="0.25">
      <c r="A10" s="22" t="s">
        <v>219</v>
      </c>
      <c r="B10" s="9">
        <v>4597</v>
      </c>
      <c r="C10" s="9">
        <v>8863</v>
      </c>
      <c r="D10" s="9">
        <v>68072</v>
      </c>
      <c r="E10" s="9">
        <v>57681</v>
      </c>
      <c r="F10" s="9">
        <v>155673</v>
      </c>
      <c r="G10" s="9">
        <v>69728</v>
      </c>
      <c r="H10" s="9">
        <v>57794</v>
      </c>
      <c r="I10" s="9">
        <v>26145.34</v>
      </c>
      <c r="J10" s="9">
        <v>65747</v>
      </c>
      <c r="K10" s="9">
        <v>9132</v>
      </c>
      <c r="L10" s="9">
        <v>389204</v>
      </c>
      <c r="M10" s="9">
        <v>91561</v>
      </c>
      <c r="N10" s="9">
        <v>6809</v>
      </c>
      <c r="O10" s="9">
        <v>69847</v>
      </c>
      <c r="P10" s="9">
        <f>527+1160+12979</f>
        <v>14666</v>
      </c>
      <c r="Q10" s="9">
        <v>81405</v>
      </c>
      <c r="R10" s="9">
        <v>189626</v>
      </c>
      <c r="S10" s="9">
        <v>284114</v>
      </c>
      <c r="T10" s="70">
        <v>201821</v>
      </c>
      <c r="U10" s="9">
        <v>3259</v>
      </c>
      <c r="V10" s="9">
        <v>106785</v>
      </c>
      <c r="W10" s="9">
        <v>63536.9</v>
      </c>
      <c r="X10" s="9">
        <v>90650</v>
      </c>
      <c r="Y10" s="9">
        <v>158971</v>
      </c>
      <c r="Z10" s="9">
        <v>44770</v>
      </c>
      <c r="AA10" s="9">
        <v>122776</v>
      </c>
      <c r="AB10" s="9">
        <v>196604</v>
      </c>
      <c r="AC10" s="9">
        <v>332459</v>
      </c>
      <c r="AD10" s="9">
        <v>54766</v>
      </c>
      <c r="AE10" s="10">
        <f t="shared" si="0"/>
        <v>3027062.24</v>
      </c>
    </row>
    <row r="11" spans="1:31" x14ac:dyDescent="0.25">
      <c r="A11" s="22" t="s">
        <v>220</v>
      </c>
      <c r="B11" s="9">
        <v>66409</v>
      </c>
      <c r="C11" s="9">
        <v>8553</v>
      </c>
      <c r="D11" s="9">
        <v>174512</v>
      </c>
      <c r="E11" s="9">
        <v>14461</v>
      </c>
      <c r="F11" s="9">
        <v>210690</v>
      </c>
      <c r="G11" s="9">
        <v>55554</v>
      </c>
      <c r="H11" s="9">
        <v>326801</v>
      </c>
      <c r="I11" s="9">
        <v>46537.38</v>
      </c>
      <c r="J11" s="9">
        <v>192458</v>
      </c>
      <c r="K11" s="9">
        <v>207212</v>
      </c>
      <c r="L11" s="9">
        <v>967428</v>
      </c>
      <c r="M11" s="9">
        <v>1165070</v>
      </c>
      <c r="N11" s="9">
        <v>22951</v>
      </c>
      <c r="O11" s="9">
        <v>223081</v>
      </c>
      <c r="P11" s="9">
        <f>1941+4263+47702</f>
        <v>53906</v>
      </c>
      <c r="Q11" s="9">
        <v>318433</v>
      </c>
      <c r="R11" s="9">
        <v>257330</v>
      </c>
      <c r="S11" s="9">
        <v>535846</v>
      </c>
      <c r="T11" s="70">
        <v>61151</v>
      </c>
      <c r="U11" s="9">
        <v>56934</v>
      </c>
      <c r="V11" s="9">
        <v>133157</v>
      </c>
      <c r="W11" s="9">
        <v>402603.4</v>
      </c>
      <c r="X11" s="9">
        <v>13671</v>
      </c>
      <c r="Y11" s="9">
        <v>187789</v>
      </c>
      <c r="Z11" s="9">
        <v>303896</v>
      </c>
      <c r="AA11" s="9">
        <v>105649</v>
      </c>
      <c r="AB11" s="9">
        <v>2305034</v>
      </c>
      <c r="AC11" s="9">
        <v>99805</v>
      </c>
      <c r="AD11" s="9">
        <v>61775</v>
      </c>
      <c r="AE11" s="10">
        <f t="shared" si="0"/>
        <v>8578696.7800000012</v>
      </c>
    </row>
    <row r="12" spans="1:31" x14ac:dyDescent="0.25">
      <c r="A12" s="22" t="s">
        <v>221</v>
      </c>
      <c r="B12" s="9">
        <v>215377</v>
      </c>
      <c r="C12" s="9">
        <v>28028</v>
      </c>
      <c r="D12" s="9">
        <v>763832</v>
      </c>
      <c r="E12" s="9">
        <v>120539</v>
      </c>
      <c r="F12" s="9">
        <v>982014</v>
      </c>
      <c r="G12" s="9">
        <v>809105</v>
      </c>
      <c r="H12" s="9">
        <v>386797</v>
      </c>
      <c r="I12" s="9">
        <v>151882.23999999999</v>
      </c>
      <c r="J12" s="9">
        <v>134274</v>
      </c>
      <c r="K12" s="9">
        <v>640360</v>
      </c>
      <c r="L12" s="9">
        <v>1098003</v>
      </c>
      <c r="M12" s="9">
        <v>64620</v>
      </c>
      <c r="N12" s="9">
        <v>46640</v>
      </c>
      <c r="O12" s="9">
        <v>100488</v>
      </c>
      <c r="P12" s="9">
        <f>551+1212+13559</f>
        <v>15322</v>
      </c>
      <c r="Q12" s="9">
        <v>405072</v>
      </c>
      <c r="R12" s="9">
        <v>363348</v>
      </c>
      <c r="S12" s="9">
        <v>604507</v>
      </c>
      <c r="T12" s="70">
        <v>122814</v>
      </c>
      <c r="U12" s="9">
        <v>485</v>
      </c>
      <c r="V12" s="9">
        <v>3504400</v>
      </c>
      <c r="W12" s="9">
        <v>691537.4</v>
      </c>
      <c r="X12" s="9">
        <v>130135</v>
      </c>
      <c r="Y12" s="9">
        <v>1129520</v>
      </c>
      <c r="Z12" s="9">
        <v>1386</v>
      </c>
      <c r="AA12" s="9">
        <v>603825</v>
      </c>
      <c r="AB12" s="9">
        <v>1645430</v>
      </c>
      <c r="AC12" s="9">
        <v>332149</v>
      </c>
      <c r="AD12" s="9">
        <v>102331</v>
      </c>
      <c r="AE12" s="10">
        <f t="shared" si="0"/>
        <v>15194220.640000001</v>
      </c>
    </row>
    <row r="13" spans="1:31" x14ac:dyDescent="0.25">
      <c r="A13" s="22" t="s">
        <v>222</v>
      </c>
      <c r="B13" s="9">
        <v>187</v>
      </c>
      <c r="C13" s="9">
        <v>2105</v>
      </c>
      <c r="D13" s="9">
        <v>27309</v>
      </c>
      <c r="E13" s="9">
        <v>35310</v>
      </c>
      <c r="F13" s="9">
        <v>17055</v>
      </c>
      <c r="G13" s="9">
        <v>49440</v>
      </c>
      <c r="H13" s="9">
        <v>9877</v>
      </c>
      <c r="I13" s="9">
        <v>973.03</v>
      </c>
      <c r="J13" s="9">
        <v>17472</v>
      </c>
      <c r="K13" s="9">
        <v>7495</v>
      </c>
      <c r="L13" s="9">
        <v>156574</v>
      </c>
      <c r="M13" s="9">
        <v>91193</v>
      </c>
      <c r="N13" s="9">
        <v>1391</v>
      </c>
      <c r="O13" s="9">
        <v>3572</v>
      </c>
      <c r="P13" s="9">
        <f>204+448+5010</f>
        <v>5662</v>
      </c>
      <c r="Q13" s="9">
        <v>20298</v>
      </c>
      <c r="R13" s="9">
        <v>51810</v>
      </c>
      <c r="S13" s="9">
        <v>52542</v>
      </c>
      <c r="T13" s="70">
        <v>90207</v>
      </c>
      <c r="U13" s="9">
        <v>267</v>
      </c>
      <c r="V13" s="9">
        <v>45912</v>
      </c>
      <c r="W13" s="9">
        <v>15518.2</v>
      </c>
      <c r="X13" s="9">
        <v>28557</v>
      </c>
      <c r="Y13" s="9">
        <v>8303</v>
      </c>
      <c r="Z13" s="9">
        <v>6799</v>
      </c>
      <c r="AA13" s="9">
        <v>30085</v>
      </c>
      <c r="AB13" s="9">
        <v>44110</v>
      </c>
      <c r="AC13" s="9">
        <v>114406</v>
      </c>
      <c r="AD13" s="9">
        <v>1231</v>
      </c>
      <c r="AE13" s="10">
        <f t="shared" si="0"/>
        <v>935660.23</v>
      </c>
    </row>
    <row r="14" spans="1:31" x14ac:dyDescent="0.25">
      <c r="A14" s="23" t="s">
        <v>41</v>
      </c>
      <c r="B14" s="9">
        <f>B17-B16-B15-B13-B12-B11-B10-B9-B8-B7-B6-B5-B4</f>
        <v>49471</v>
      </c>
      <c r="C14" s="9">
        <f t="shared" ref="C14:AD14" si="1">C17-C16-C15-C13-C12-C11-C10-C9-C8-C7-C6-C5-C4</f>
        <v>337397</v>
      </c>
      <c r="D14" s="9">
        <f t="shared" si="1"/>
        <v>552024</v>
      </c>
      <c r="E14" s="9">
        <f t="shared" si="1"/>
        <v>1947858</v>
      </c>
      <c r="F14" s="9">
        <f t="shared" si="1"/>
        <v>1098998</v>
      </c>
      <c r="G14" s="9">
        <f t="shared" si="1"/>
        <v>4268105</v>
      </c>
      <c r="H14" s="9">
        <f t="shared" si="1"/>
        <v>455579</v>
      </c>
      <c r="I14" s="9">
        <f t="shared" si="1"/>
        <v>235263.19999999995</v>
      </c>
      <c r="J14" s="9">
        <f t="shared" si="1"/>
        <v>2043758</v>
      </c>
      <c r="K14" s="9">
        <f t="shared" si="1"/>
        <v>-415732</v>
      </c>
      <c r="L14" s="9">
        <f t="shared" si="1"/>
        <v>10311633</v>
      </c>
      <c r="M14" s="9">
        <f t="shared" si="1"/>
        <v>5452386</v>
      </c>
      <c r="N14" s="9">
        <f t="shared" si="1"/>
        <v>67662</v>
      </c>
      <c r="O14" s="9">
        <f t="shared" si="1"/>
        <v>1173012</v>
      </c>
      <c r="P14" s="9">
        <f t="shared" si="1"/>
        <v>729293</v>
      </c>
      <c r="Q14" s="9">
        <f t="shared" si="1"/>
        <v>21393</v>
      </c>
      <c r="R14" s="9">
        <f t="shared" si="1"/>
        <v>10354462</v>
      </c>
      <c r="S14" s="9">
        <f t="shared" si="1"/>
        <v>9852040</v>
      </c>
      <c r="T14" s="9">
        <f t="shared" si="1"/>
        <v>4083840</v>
      </c>
      <c r="U14" s="9">
        <f t="shared" si="1"/>
        <v>12335</v>
      </c>
      <c r="V14" s="9">
        <f t="shared" si="1"/>
        <v>709950</v>
      </c>
      <c r="W14" s="9">
        <f t="shared" si="1"/>
        <v>161782.69999999995</v>
      </c>
      <c r="X14" s="9">
        <f t="shared" si="1"/>
        <v>3666809</v>
      </c>
      <c r="Y14" s="9">
        <f t="shared" si="1"/>
        <v>259182</v>
      </c>
      <c r="Z14" s="9">
        <f t="shared" si="1"/>
        <v>699456</v>
      </c>
      <c r="AA14" s="9">
        <f t="shared" si="1"/>
        <v>-511455</v>
      </c>
      <c r="AB14" s="9">
        <f t="shared" si="1"/>
        <v>518996</v>
      </c>
      <c r="AC14" s="9">
        <f t="shared" si="1"/>
        <v>6000998</v>
      </c>
      <c r="AD14" s="9">
        <f t="shared" si="1"/>
        <v>827608</v>
      </c>
      <c r="AE14" s="10">
        <f t="shared" si="0"/>
        <v>64964103.900000006</v>
      </c>
    </row>
    <row r="15" spans="1:31" x14ac:dyDescent="0.25">
      <c r="A15" s="22" t="s">
        <v>223</v>
      </c>
      <c r="B15" s="9">
        <v>38842</v>
      </c>
      <c r="C15" s="9">
        <v>121081</v>
      </c>
      <c r="D15" s="9">
        <v>110115</v>
      </c>
      <c r="E15" s="9">
        <v>70151</v>
      </c>
      <c r="F15" s="9">
        <v>75451</v>
      </c>
      <c r="G15" s="9">
        <v>170433</v>
      </c>
      <c r="H15" s="9">
        <v>382</v>
      </c>
      <c r="I15" s="9">
        <v>33599.879999999997</v>
      </c>
      <c r="J15" s="9">
        <v>93789</v>
      </c>
      <c r="K15" s="9">
        <v>129049</v>
      </c>
      <c r="L15" s="9">
        <v>535150</v>
      </c>
      <c r="M15" s="9">
        <v>97879</v>
      </c>
      <c r="N15" s="9">
        <v>61211</v>
      </c>
      <c r="O15" s="9">
        <v>125052</v>
      </c>
      <c r="P15" s="9">
        <f>470+1031+11540</f>
        <v>13041</v>
      </c>
      <c r="Q15" s="9">
        <v>115479</v>
      </c>
      <c r="R15" s="9">
        <v>773227</v>
      </c>
      <c r="S15" s="9">
        <v>448777</v>
      </c>
      <c r="T15" s="70">
        <v>233600</v>
      </c>
      <c r="U15" s="9">
        <v>3036</v>
      </c>
      <c r="V15" s="9">
        <v>163315</v>
      </c>
      <c r="W15" s="9">
        <v>123089.2</v>
      </c>
      <c r="X15" s="9">
        <v>112402</v>
      </c>
      <c r="Y15" s="9">
        <v>353607</v>
      </c>
      <c r="Z15" s="9">
        <v>42047</v>
      </c>
      <c r="AA15" s="9">
        <v>200818</v>
      </c>
      <c r="AB15" s="9">
        <v>179230</v>
      </c>
      <c r="AC15" s="9">
        <v>555379</v>
      </c>
      <c r="AD15" s="9">
        <v>29448</v>
      </c>
      <c r="AE15" s="10">
        <f t="shared" si="0"/>
        <v>5008680.08</v>
      </c>
    </row>
    <row r="16" spans="1:31" x14ac:dyDescent="0.25">
      <c r="A16" s="22" t="s">
        <v>224</v>
      </c>
      <c r="B16" s="9"/>
      <c r="C16" s="9">
        <v>646115</v>
      </c>
      <c r="D16" s="9">
        <v>28840</v>
      </c>
      <c r="E16" s="9">
        <v>94964</v>
      </c>
      <c r="F16" s="9"/>
      <c r="G16" s="9">
        <v>57000</v>
      </c>
      <c r="H16" s="9"/>
      <c r="I16" s="9"/>
      <c r="J16" s="9">
        <v>64115</v>
      </c>
      <c r="K16" s="9"/>
      <c r="L16" s="9"/>
      <c r="M16" s="9">
        <v>136361</v>
      </c>
      <c r="N16" s="9"/>
      <c r="O16" s="9"/>
      <c r="P16" s="9"/>
      <c r="Q16" s="9">
        <v>13684</v>
      </c>
      <c r="R16" s="9">
        <v>1968290</v>
      </c>
      <c r="S16" s="9">
        <v>669063</v>
      </c>
      <c r="T16" s="70">
        <v>379089</v>
      </c>
      <c r="U16" s="9"/>
      <c r="V16" s="9">
        <v>103040</v>
      </c>
      <c r="W16" s="9"/>
      <c r="X16" s="9">
        <v>3345</v>
      </c>
      <c r="Y16" s="9"/>
      <c r="Z16" s="9">
        <v>57565</v>
      </c>
      <c r="AA16" s="9"/>
      <c r="AB16" s="9">
        <v>117069</v>
      </c>
      <c r="AC16" s="9"/>
      <c r="AD16" s="9">
        <v>75453</v>
      </c>
      <c r="AE16" s="10">
        <f t="shared" si="0"/>
        <v>4413993</v>
      </c>
    </row>
    <row r="17" spans="1:31" s="7" customFormat="1" x14ac:dyDescent="0.25">
      <c r="A17" s="3" t="s">
        <v>51</v>
      </c>
      <c r="B17" s="10">
        <v>851938</v>
      </c>
      <c r="C17" s="10">
        <v>1666674</v>
      </c>
      <c r="D17" s="10">
        <v>3497628</v>
      </c>
      <c r="E17" s="10">
        <v>3915067</v>
      </c>
      <c r="F17" s="10">
        <v>4964550</v>
      </c>
      <c r="G17" s="10">
        <v>7132603</v>
      </c>
      <c r="H17" s="10">
        <v>2223724</v>
      </c>
      <c r="I17" s="10">
        <v>1991184.38</v>
      </c>
      <c r="J17" s="10">
        <v>4515239</v>
      </c>
      <c r="K17" s="10">
        <v>1129606</v>
      </c>
      <c r="L17" s="10">
        <v>19820372</v>
      </c>
      <c r="M17" s="10">
        <v>9120528</v>
      </c>
      <c r="N17" s="10">
        <v>527182</v>
      </c>
      <c r="O17" s="10">
        <v>3165623</v>
      </c>
      <c r="P17" s="10">
        <f>50970+111960+1252772</f>
        <v>1415702</v>
      </c>
      <c r="Q17" s="10">
        <v>2566880</v>
      </c>
      <c r="R17" s="10">
        <v>36875631</v>
      </c>
      <c r="S17" s="10">
        <v>37814666</v>
      </c>
      <c r="T17" s="10">
        <v>28212398</v>
      </c>
      <c r="U17" s="10">
        <v>173547</v>
      </c>
      <c r="V17" s="10">
        <v>7941035</v>
      </c>
      <c r="W17" s="10">
        <v>3209386</v>
      </c>
      <c r="X17" s="10">
        <v>5584588</v>
      </c>
      <c r="Y17" s="10">
        <v>4989157</v>
      </c>
      <c r="Z17" s="10">
        <v>2111171</v>
      </c>
      <c r="AA17" s="10">
        <v>6357684</v>
      </c>
      <c r="AB17" s="10">
        <v>8780285</v>
      </c>
      <c r="AC17" s="10">
        <v>29691163</v>
      </c>
      <c r="AD17" s="10">
        <v>2309613</v>
      </c>
      <c r="AE17" s="10">
        <f t="shared" si="0"/>
        <v>242554824.38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7.85546875" style="6" customWidth="1"/>
    <col min="2" max="30" width="16" style="6" customWidth="1"/>
    <col min="31" max="31" width="16" style="7" customWidth="1"/>
    <col min="32" max="16384" width="9.140625" style="6"/>
  </cols>
  <sheetData>
    <row r="1" spans="1:31" ht="18.75" x14ac:dyDescent="0.3">
      <c r="A1" s="8" t="s">
        <v>286</v>
      </c>
    </row>
    <row r="2" spans="1:31" x14ac:dyDescent="0.25">
      <c r="A2" s="6" t="s">
        <v>43</v>
      </c>
    </row>
    <row r="3" spans="1:31" x14ac:dyDescent="0.25">
      <c r="A3" s="1" t="s">
        <v>0</v>
      </c>
      <c r="B3" s="67" t="s">
        <v>1</v>
      </c>
      <c r="C3" s="67" t="s">
        <v>2</v>
      </c>
      <c r="D3" s="67" t="s">
        <v>3</v>
      </c>
      <c r="E3" s="67" t="s">
        <v>4</v>
      </c>
      <c r="F3" s="67" t="s">
        <v>5</v>
      </c>
      <c r="G3" s="67" t="s">
        <v>6</v>
      </c>
      <c r="H3" s="85" t="s">
        <v>7</v>
      </c>
      <c r="I3" s="67" t="s">
        <v>8</v>
      </c>
      <c r="J3" s="67" t="s">
        <v>9</v>
      </c>
      <c r="K3" s="85" t="s">
        <v>10</v>
      </c>
      <c r="L3" s="67" t="s">
        <v>11</v>
      </c>
      <c r="M3" s="67" t="s">
        <v>12</v>
      </c>
      <c r="N3" s="67" t="s">
        <v>13</v>
      </c>
      <c r="O3" s="67" t="s">
        <v>14</v>
      </c>
      <c r="P3" s="67" t="s">
        <v>15</v>
      </c>
      <c r="Q3" s="67" t="s">
        <v>16</v>
      </c>
      <c r="R3" s="67" t="s">
        <v>17</v>
      </c>
      <c r="S3" s="67" t="s">
        <v>18</v>
      </c>
      <c r="T3" s="67" t="s">
        <v>19</v>
      </c>
      <c r="U3" s="85" t="s">
        <v>20</v>
      </c>
      <c r="V3" s="85" t="s">
        <v>21</v>
      </c>
      <c r="W3" s="85" t="s">
        <v>22</v>
      </c>
      <c r="X3" s="85" t="s">
        <v>23</v>
      </c>
      <c r="Y3" s="85" t="s">
        <v>24</v>
      </c>
      <c r="Z3" s="85" t="s">
        <v>25</v>
      </c>
      <c r="AA3" s="85" t="s">
        <v>26</v>
      </c>
      <c r="AB3" s="85" t="s">
        <v>27</v>
      </c>
      <c r="AC3" s="85" t="s">
        <v>28</v>
      </c>
      <c r="AD3" s="85" t="s">
        <v>29</v>
      </c>
      <c r="AE3" s="67" t="s">
        <v>30</v>
      </c>
    </row>
    <row r="4" spans="1:31" x14ac:dyDescent="0.25">
      <c r="A4" s="9" t="s">
        <v>44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>
        <v>575</v>
      </c>
      <c r="T4" s="9">
        <v>2565</v>
      </c>
      <c r="U4" s="9"/>
      <c r="V4" s="9"/>
      <c r="W4" s="9"/>
      <c r="X4" s="9"/>
      <c r="Y4" s="9"/>
      <c r="Z4" s="9"/>
      <c r="AA4" s="9"/>
      <c r="AB4" s="9"/>
      <c r="AC4" s="9">
        <v>13589</v>
      </c>
      <c r="AD4" s="9"/>
      <c r="AE4" s="10">
        <f t="shared" ref="AE4:AE11" si="0">SUM(B4:AD4)</f>
        <v>16729</v>
      </c>
    </row>
    <row r="5" spans="1:31" x14ac:dyDescent="0.25">
      <c r="A5" s="9" t="s">
        <v>45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>
        <f t="shared" si="0"/>
        <v>0</v>
      </c>
    </row>
    <row r="6" spans="1:31" x14ac:dyDescent="0.25">
      <c r="A6" s="9" t="s">
        <v>46</v>
      </c>
      <c r="B6" s="9">
        <v>1470588</v>
      </c>
      <c r="C6" s="9"/>
      <c r="D6" s="9"/>
      <c r="E6" s="9">
        <v>1666197</v>
      </c>
      <c r="F6" s="9">
        <v>1720185</v>
      </c>
      <c r="G6" s="9">
        <v>1432645</v>
      </c>
      <c r="H6" s="9">
        <v>825000</v>
      </c>
      <c r="I6" s="9"/>
      <c r="J6" s="9"/>
      <c r="K6" s="9"/>
      <c r="L6" s="9">
        <v>15335510</v>
      </c>
      <c r="M6" s="9">
        <v>2568789</v>
      </c>
      <c r="N6" s="9"/>
      <c r="O6" s="9"/>
      <c r="P6" s="9">
        <v>1455000</v>
      </c>
      <c r="Q6" s="9"/>
      <c r="R6" s="9"/>
      <c r="S6" s="9"/>
      <c r="T6" s="9"/>
      <c r="U6" s="9"/>
      <c r="V6" s="9">
        <v>8924800</v>
      </c>
      <c r="W6" s="9"/>
      <c r="X6" s="9">
        <v>780000</v>
      </c>
      <c r="Y6" s="9">
        <v>13326000</v>
      </c>
      <c r="Z6" s="9">
        <v>673</v>
      </c>
      <c r="AA6" s="9">
        <v>5745592</v>
      </c>
      <c r="AB6" s="9">
        <v>825000</v>
      </c>
      <c r="AC6" s="9"/>
      <c r="AD6" s="9">
        <v>858000</v>
      </c>
      <c r="AE6" s="10">
        <f t="shared" si="0"/>
        <v>56933979</v>
      </c>
    </row>
    <row r="7" spans="1:31" x14ac:dyDescent="0.25">
      <c r="A7" s="9" t="s">
        <v>47</v>
      </c>
      <c r="B7" s="9"/>
      <c r="C7" s="9">
        <v>27672613</v>
      </c>
      <c r="D7" s="9">
        <v>2587793</v>
      </c>
      <c r="E7" s="9"/>
      <c r="F7" s="9"/>
      <c r="G7" s="9">
        <v>2847567</v>
      </c>
      <c r="H7" s="9">
        <v>151237</v>
      </c>
      <c r="I7" s="9">
        <v>21091948.210000001</v>
      </c>
      <c r="J7" s="9"/>
      <c r="K7" s="9"/>
      <c r="L7" s="9">
        <v>333642</v>
      </c>
      <c r="M7" s="9"/>
      <c r="N7" s="9"/>
      <c r="O7" s="9"/>
      <c r="P7" s="9"/>
      <c r="Q7" s="9"/>
      <c r="R7" s="9">
        <v>38314426</v>
      </c>
      <c r="S7" s="9">
        <v>108713425</v>
      </c>
      <c r="T7" s="9">
        <f>31376398-16910994</f>
        <v>14465404</v>
      </c>
      <c r="U7" s="9"/>
      <c r="V7" s="9"/>
      <c r="W7" s="9"/>
      <c r="X7" s="9"/>
      <c r="Y7" s="9"/>
      <c r="Z7" s="9"/>
      <c r="AA7" s="9"/>
      <c r="AB7" s="9">
        <v>151237</v>
      </c>
      <c r="AC7" s="9">
        <v>36514923</v>
      </c>
      <c r="AD7" s="9"/>
      <c r="AE7" s="10">
        <f t="shared" si="0"/>
        <v>252844215.21000001</v>
      </c>
    </row>
    <row r="8" spans="1:31" x14ac:dyDescent="0.25">
      <c r="A8" s="9" t="s">
        <v>48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16574</v>
      </c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>
        <f t="shared" si="0"/>
        <v>16574</v>
      </c>
    </row>
    <row r="9" spans="1:31" x14ac:dyDescent="0.25">
      <c r="A9" s="9" t="s">
        <v>49</v>
      </c>
      <c r="B9" s="9">
        <f>B11-B10-B8-B7-B6-B5-B4</f>
        <v>0</v>
      </c>
      <c r="C9" s="9">
        <f t="shared" ref="C9:AD9" si="1">C11-C10-C8-C7-C6-C5-C4</f>
        <v>0</v>
      </c>
      <c r="D9" s="9">
        <f t="shared" si="1"/>
        <v>0</v>
      </c>
      <c r="E9" s="9">
        <f t="shared" si="1"/>
        <v>0</v>
      </c>
      <c r="F9" s="9">
        <f t="shared" si="1"/>
        <v>0</v>
      </c>
      <c r="G9" s="9">
        <f t="shared" si="1"/>
        <v>0</v>
      </c>
      <c r="H9" s="9">
        <f t="shared" si="1"/>
        <v>445000</v>
      </c>
      <c r="I9" s="9">
        <f t="shared" si="1"/>
        <v>600000.0009999983</v>
      </c>
      <c r="J9" s="9">
        <f t="shared" si="1"/>
        <v>0</v>
      </c>
      <c r="K9" s="9">
        <f t="shared" si="1"/>
        <v>0</v>
      </c>
      <c r="L9" s="9">
        <f t="shared" si="1"/>
        <v>0</v>
      </c>
      <c r="M9" s="9">
        <f t="shared" si="1"/>
        <v>1166</v>
      </c>
      <c r="N9" s="9">
        <f t="shared" si="1"/>
        <v>0</v>
      </c>
      <c r="O9" s="9">
        <f t="shared" si="1"/>
        <v>0</v>
      </c>
      <c r="P9" s="9">
        <f t="shared" si="1"/>
        <v>0</v>
      </c>
      <c r="Q9" s="9">
        <f t="shared" si="1"/>
        <v>0</v>
      </c>
      <c r="R9" s="9">
        <f t="shared" si="1"/>
        <v>991413</v>
      </c>
      <c r="S9" s="9">
        <f t="shared" si="1"/>
        <v>10987630</v>
      </c>
      <c r="T9" s="9">
        <f t="shared" si="1"/>
        <v>0</v>
      </c>
      <c r="U9" s="9">
        <f t="shared" si="1"/>
        <v>0</v>
      </c>
      <c r="V9" s="9">
        <f t="shared" si="1"/>
        <v>0</v>
      </c>
      <c r="W9" s="9">
        <f t="shared" si="1"/>
        <v>0</v>
      </c>
      <c r="X9" s="9">
        <f t="shared" si="1"/>
        <v>0</v>
      </c>
      <c r="Y9" s="9">
        <f t="shared" si="1"/>
        <v>0</v>
      </c>
      <c r="Z9" s="9">
        <f t="shared" si="1"/>
        <v>0</v>
      </c>
      <c r="AA9" s="9">
        <f t="shared" si="1"/>
        <v>0</v>
      </c>
      <c r="AB9" s="9">
        <f t="shared" si="1"/>
        <v>445000</v>
      </c>
      <c r="AC9" s="9">
        <f t="shared" si="1"/>
        <v>140275</v>
      </c>
      <c r="AD9" s="9">
        <f t="shared" si="1"/>
        <v>0</v>
      </c>
      <c r="AE9" s="10">
        <f t="shared" si="0"/>
        <v>13610484.000999998</v>
      </c>
    </row>
    <row r="10" spans="1:31" x14ac:dyDescent="0.25">
      <c r="A10" s="9" t="s">
        <v>50</v>
      </c>
      <c r="B10" s="9"/>
      <c r="C10" s="9"/>
      <c r="D10" s="9"/>
      <c r="E10" s="9">
        <v>32407001</v>
      </c>
      <c r="F10" s="9"/>
      <c r="G10" s="9">
        <v>3482754</v>
      </c>
      <c r="H10" s="9">
        <v>4085754</v>
      </c>
      <c r="I10" s="9"/>
      <c r="J10" s="9"/>
      <c r="K10" s="9"/>
      <c r="L10" s="9">
        <v>17072284</v>
      </c>
      <c r="M10" s="9">
        <v>11593295</v>
      </c>
      <c r="N10" s="9"/>
      <c r="O10" s="9"/>
      <c r="P10" s="9"/>
      <c r="Q10" s="9"/>
      <c r="R10" s="9"/>
      <c r="S10" s="9"/>
      <c r="T10" s="9"/>
      <c r="U10" s="9">
        <v>228477</v>
      </c>
      <c r="V10" s="9">
        <v>2294255</v>
      </c>
      <c r="W10" s="9"/>
      <c r="X10" s="9">
        <v>2372291</v>
      </c>
      <c r="Y10" s="9"/>
      <c r="Z10" s="9">
        <v>8816521</v>
      </c>
      <c r="AA10" s="9"/>
      <c r="AB10" s="9">
        <v>4085754</v>
      </c>
      <c r="AC10" s="9"/>
      <c r="AD10" s="9"/>
      <c r="AE10" s="10">
        <f t="shared" si="0"/>
        <v>86438386</v>
      </c>
    </row>
    <row r="11" spans="1:31" s="7" customFormat="1" x14ac:dyDescent="0.25">
      <c r="A11" s="10" t="s">
        <v>51</v>
      </c>
      <c r="B11" s="10">
        <v>1470588</v>
      </c>
      <c r="C11" s="10">
        <v>27672613</v>
      </c>
      <c r="D11" s="10">
        <v>2587793</v>
      </c>
      <c r="E11" s="10">
        <v>34073198</v>
      </c>
      <c r="F11" s="10">
        <v>1720185</v>
      </c>
      <c r="G11" s="10">
        <v>7762966</v>
      </c>
      <c r="H11" s="10">
        <v>5506991</v>
      </c>
      <c r="I11" s="10">
        <v>21691948.210999999</v>
      </c>
      <c r="J11" s="10"/>
      <c r="K11" s="10"/>
      <c r="L11" s="10">
        <v>32741436</v>
      </c>
      <c r="M11" s="10">
        <v>14163250</v>
      </c>
      <c r="N11" s="10"/>
      <c r="O11" s="10"/>
      <c r="P11" s="10">
        <v>1455000</v>
      </c>
      <c r="Q11" s="10"/>
      <c r="R11" s="10">
        <v>39322413</v>
      </c>
      <c r="S11" s="10">
        <v>119701630</v>
      </c>
      <c r="T11" s="10">
        <v>14467969</v>
      </c>
      <c r="U11" s="10">
        <v>228477</v>
      </c>
      <c r="V11" s="10">
        <v>11219055</v>
      </c>
      <c r="W11" s="10"/>
      <c r="X11" s="10">
        <v>3152291</v>
      </c>
      <c r="Y11" s="10">
        <v>13326000</v>
      </c>
      <c r="Z11" s="10">
        <v>8817194</v>
      </c>
      <c r="AA11" s="10">
        <v>5745592</v>
      </c>
      <c r="AB11" s="10">
        <v>5506991</v>
      </c>
      <c r="AC11" s="10">
        <v>36668787</v>
      </c>
      <c r="AD11" s="10">
        <v>858000</v>
      </c>
      <c r="AE11" s="10">
        <f t="shared" si="0"/>
        <v>409860367.21099997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55" customWidth="1"/>
    <col min="2" max="88" width="14.28515625" style="55" customWidth="1"/>
    <col min="89" max="16384" width="9.140625" style="55"/>
  </cols>
  <sheetData>
    <row r="1" spans="1:88" ht="18.75" x14ac:dyDescent="0.3">
      <c r="A1" s="54" t="s">
        <v>287</v>
      </c>
    </row>
    <row r="2" spans="1:88" x14ac:dyDescent="0.25">
      <c r="A2" s="56" t="s">
        <v>43</v>
      </c>
    </row>
    <row r="3" spans="1:88" x14ac:dyDescent="0.25">
      <c r="A3" s="92" t="s">
        <v>0</v>
      </c>
      <c r="B3" s="91" t="s">
        <v>1</v>
      </c>
      <c r="C3" s="91"/>
      <c r="D3" s="91"/>
      <c r="E3" s="91" t="s">
        <v>2</v>
      </c>
      <c r="F3" s="91"/>
      <c r="G3" s="91"/>
      <c r="H3" s="91" t="s">
        <v>3</v>
      </c>
      <c r="I3" s="91"/>
      <c r="J3" s="91"/>
      <c r="K3" s="91" t="s">
        <v>4</v>
      </c>
      <c r="L3" s="91"/>
      <c r="M3" s="91"/>
      <c r="N3" s="91" t="s">
        <v>5</v>
      </c>
      <c r="O3" s="91"/>
      <c r="P3" s="91"/>
      <c r="Q3" s="91" t="s">
        <v>6</v>
      </c>
      <c r="R3" s="91"/>
      <c r="S3" s="91"/>
      <c r="T3" s="91" t="s">
        <v>7</v>
      </c>
      <c r="U3" s="91"/>
      <c r="V3" s="91"/>
      <c r="W3" s="91" t="s">
        <v>8</v>
      </c>
      <c r="X3" s="91"/>
      <c r="Y3" s="91"/>
      <c r="Z3" s="91" t="s">
        <v>9</v>
      </c>
      <c r="AA3" s="91"/>
      <c r="AB3" s="91"/>
      <c r="AC3" s="91" t="s">
        <v>10</v>
      </c>
      <c r="AD3" s="91"/>
      <c r="AE3" s="91"/>
      <c r="AF3" s="91" t="s">
        <v>11</v>
      </c>
      <c r="AG3" s="91"/>
      <c r="AH3" s="91"/>
      <c r="AI3" s="91" t="s">
        <v>12</v>
      </c>
      <c r="AJ3" s="91"/>
      <c r="AK3" s="91"/>
      <c r="AL3" s="91" t="s">
        <v>13</v>
      </c>
      <c r="AM3" s="91"/>
      <c r="AN3" s="91"/>
      <c r="AO3" s="91" t="s">
        <v>14</v>
      </c>
      <c r="AP3" s="91"/>
      <c r="AQ3" s="91"/>
      <c r="AR3" s="91" t="s">
        <v>15</v>
      </c>
      <c r="AS3" s="91"/>
      <c r="AT3" s="91"/>
      <c r="AU3" s="91" t="s">
        <v>16</v>
      </c>
      <c r="AV3" s="91"/>
      <c r="AW3" s="91"/>
      <c r="AX3" s="91" t="s">
        <v>17</v>
      </c>
      <c r="AY3" s="91"/>
      <c r="AZ3" s="91"/>
      <c r="BA3" s="91" t="s">
        <v>18</v>
      </c>
      <c r="BB3" s="91"/>
      <c r="BC3" s="91"/>
      <c r="BD3" s="91" t="s">
        <v>19</v>
      </c>
      <c r="BE3" s="91"/>
      <c r="BF3" s="91"/>
      <c r="BG3" s="91" t="s">
        <v>20</v>
      </c>
      <c r="BH3" s="91"/>
      <c r="BI3" s="91"/>
      <c r="BJ3" s="91" t="s">
        <v>21</v>
      </c>
      <c r="BK3" s="91"/>
      <c r="BL3" s="91"/>
      <c r="BM3" s="91" t="s">
        <v>22</v>
      </c>
      <c r="BN3" s="91"/>
      <c r="BO3" s="91"/>
      <c r="BP3" s="91" t="s">
        <v>23</v>
      </c>
      <c r="BQ3" s="91"/>
      <c r="BR3" s="91"/>
      <c r="BS3" s="91" t="s">
        <v>24</v>
      </c>
      <c r="BT3" s="91"/>
      <c r="BU3" s="91"/>
      <c r="BV3" s="91" t="s">
        <v>25</v>
      </c>
      <c r="BW3" s="91"/>
      <c r="BX3" s="91"/>
      <c r="BY3" s="91" t="s">
        <v>26</v>
      </c>
      <c r="BZ3" s="91"/>
      <c r="CA3" s="91"/>
      <c r="CB3" s="91" t="s">
        <v>27</v>
      </c>
      <c r="CC3" s="91"/>
      <c r="CD3" s="91"/>
      <c r="CE3" s="91" t="s">
        <v>28</v>
      </c>
      <c r="CF3" s="91"/>
      <c r="CG3" s="91"/>
      <c r="CH3" s="91" t="s">
        <v>29</v>
      </c>
      <c r="CI3" s="91"/>
      <c r="CJ3" s="91"/>
    </row>
    <row r="4" spans="1:88" x14ac:dyDescent="0.25">
      <c r="A4" s="92"/>
      <c r="B4" s="41" t="s">
        <v>188</v>
      </c>
      <c r="C4" s="41" t="s">
        <v>189</v>
      </c>
      <c r="D4" s="41" t="s">
        <v>160</v>
      </c>
      <c r="E4" s="41" t="s">
        <v>188</v>
      </c>
      <c r="F4" s="41" t="s">
        <v>189</v>
      </c>
      <c r="G4" s="41" t="s">
        <v>160</v>
      </c>
      <c r="H4" s="41" t="s">
        <v>188</v>
      </c>
      <c r="I4" s="41" t="s">
        <v>189</v>
      </c>
      <c r="J4" s="41" t="s">
        <v>160</v>
      </c>
      <c r="K4" s="41" t="s">
        <v>188</v>
      </c>
      <c r="L4" s="41" t="s">
        <v>189</v>
      </c>
      <c r="M4" s="41" t="s">
        <v>160</v>
      </c>
      <c r="N4" s="41" t="s">
        <v>188</v>
      </c>
      <c r="O4" s="41" t="s">
        <v>189</v>
      </c>
      <c r="P4" s="41" t="s">
        <v>160</v>
      </c>
      <c r="Q4" s="41" t="s">
        <v>188</v>
      </c>
      <c r="R4" s="41" t="s">
        <v>189</v>
      </c>
      <c r="S4" s="41" t="s">
        <v>160</v>
      </c>
      <c r="T4" s="41" t="s">
        <v>188</v>
      </c>
      <c r="U4" s="41" t="s">
        <v>189</v>
      </c>
      <c r="V4" s="41" t="s">
        <v>160</v>
      </c>
      <c r="W4" s="41" t="s">
        <v>188</v>
      </c>
      <c r="X4" s="41" t="s">
        <v>189</v>
      </c>
      <c r="Y4" s="41" t="s">
        <v>160</v>
      </c>
      <c r="Z4" s="41" t="s">
        <v>188</v>
      </c>
      <c r="AA4" s="41" t="s">
        <v>189</v>
      </c>
      <c r="AB4" s="41" t="s">
        <v>160</v>
      </c>
      <c r="AC4" s="41" t="s">
        <v>188</v>
      </c>
      <c r="AD4" s="41" t="s">
        <v>189</v>
      </c>
      <c r="AE4" s="41" t="s">
        <v>160</v>
      </c>
      <c r="AF4" s="41" t="s">
        <v>188</v>
      </c>
      <c r="AG4" s="41" t="s">
        <v>189</v>
      </c>
      <c r="AH4" s="41" t="s">
        <v>160</v>
      </c>
      <c r="AI4" s="41" t="s">
        <v>188</v>
      </c>
      <c r="AJ4" s="41" t="s">
        <v>189</v>
      </c>
      <c r="AK4" s="41" t="s">
        <v>160</v>
      </c>
      <c r="AL4" s="41" t="s">
        <v>188</v>
      </c>
      <c r="AM4" s="41" t="s">
        <v>189</v>
      </c>
      <c r="AN4" s="41" t="s">
        <v>160</v>
      </c>
      <c r="AO4" s="41" t="s">
        <v>188</v>
      </c>
      <c r="AP4" s="41" t="s">
        <v>189</v>
      </c>
      <c r="AQ4" s="41" t="s">
        <v>160</v>
      </c>
      <c r="AR4" s="41" t="s">
        <v>188</v>
      </c>
      <c r="AS4" s="41" t="s">
        <v>189</v>
      </c>
      <c r="AT4" s="41" t="s">
        <v>160</v>
      </c>
      <c r="AU4" s="41" t="s">
        <v>188</v>
      </c>
      <c r="AV4" s="41" t="s">
        <v>189</v>
      </c>
      <c r="AW4" s="41" t="s">
        <v>160</v>
      </c>
      <c r="AX4" s="41" t="s">
        <v>188</v>
      </c>
      <c r="AY4" s="41" t="s">
        <v>189</v>
      </c>
      <c r="AZ4" s="41" t="s">
        <v>160</v>
      </c>
      <c r="BA4" s="41" t="s">
        <v>188</v>
      </c>
      <c r="BB4" s="41" t="s">
        <v>189</v>
      </c>
      <c r="BC4" s="41" t="s">
        <v>160</v>
      </c>
      <c r="BD4" s="41" t="s">
        <v>188</v>
      </c>
      <c r="BE4" s="41" t="s">
        <v>189</v>
      </c>
      <c r="BF4" s="81" t="s">
        <v>160</v>
      </c>
      <c r="BG4" s="41" t="s">
        <v>188</v>
      </c>
      <c r="BH4" s="41" t="s">
        <v>189</v>
      </c>
      <c r="BI4" s="41" t="s">
        <v>160</v>
      </c>
      <c r="BJ4" s="41" t="s">
        <v>188</v>
      </c>
      <c r="BK4" s="41" t="s">
        <v>189</v>
      </c>
      <c r="BL4" s="41" t="s">
        <v>160</v>
      </c>
      <c r="BM4" s="41" t="s">
        <v>188</v>
      </c>
      <c r="BN4" s="41" t="s">
        <v>189</v>
      </c>
      <c r="BO4" s="41" t="s">
        <v>160</v>
      </c>
      <c r="BP4" s="41" t="s">
        <v>188</v>
      </c>
      <c r="BQ4" s="41" t="s">
        <v>189</v>
      </c>
      <c r="BR4" s="41" t="s">
        <v>160</v>
      </c>
      <c r="BS4" s="41" t="s">
        <v>188</v>
      </c>
      <c r="BT4" s="41" t="s">
        <v>189</v>
      </c>
      <c r="BU4" s="41" t="s">
        <v>160</v>
      </c>
      <c r="BV4" s="41" t="s">
        <v>188</v>
      </c>
      <c r="BW4" s="41" t="s">
        <v>189</v>
      </c>
      <c r="BX4" s="41" t="s">
        <v>160</v>
      </c>
      <c r="BY4" s="41" t="s">
        <v>188</v>
      </c>
      <c r="BZ4" s="41" t="s">
        <v>189</v>
      </c>
      <c r="CA4" s="41" t="s">
        <v>160</v>
      </c>
      <c r="CB4" s="41" t="s">
        <v>188</v>
      </c>
      <c r="CC4" s="41" t="s">
        <v>189</v>
      </c>
      <c r="CD4" s="41" t="s">
        <v>160</v>
      </c>
      <c r="CE4" s="41" t="s">
        <v>188</v>
      </c>
      <c r="CF4" s="41" t="s">
        <v>189</v>
      </c>
      <c r="CG4" s="41" t="s">
        <v>160</v>
      </c>
      <c r="CH4" s="41" t="s">
        <v>188</v>
      </c>
      <c r="CI4" s="41" t="s">
        <v>189</v>
      </c>
      <c r="CJ4" s="41" t="s">
        <v>160</v>
      </c>
    </row>
    <row r="5" spans="1:88" x14ac:dyDescent="0.25">
      <c r="A5" s="57" t="s">
        <v>190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</row>
    <row r="6" spans="1:88" ht="30" x14ac:dyDescent="0.25">
      <c r="A6" s="59" t="s">
        <v>191</v>
      </c>
      <c r="B6" s="58">
        <v>435824</v>
      </c>
      <c r="C6" s="58">
        <v>205002</v>
      </c>
      <c r="D6" s="58">
        <f>C6+B6</f>
        <v>640826</v>
      </c>
      <c r="E6" s="58"/>
      <c r="F6" s="58"/>
      <c r="G6" s="58">
        <v>11944692</v>
      </c>
      <c r="H6" s="58"/>
      <c r="I6" s="58"/>
      <c r="J6" s="58">
        <v>2973873</v>
      </c>
      <c r="K6" s="58"/>
      <c r="L6" s="58"/>
      <c r="M6" s="58">
        <v>43567606</v>
      </c>
      <c r="N6" s="58"/>
      <c r="O6" s="58">
        <v>7307863</v>
      </c>
      <c r="P6" s="58">
        <f>O6+N6</f>
        <v>7307863</v>
      </c>
      <c r="Q6" s="58">
        <v>2738578</v>
      </c>
      <c r="R6" s="58">
        <v>13963377</v>
      </c>
      <c r="S6" s="58">
        <f>R6+Q6</f>
        <v>16701955</v>
      </c>
      <c r="T6" s="58">
        <v>286072</v>
      </c>
      <c r="U6" s="58">
        <v>422509</v>
      </c>
      <c r="V6" s="58">
        <f>U6+T6</f>
        <v>708581</v>
      </c>
      <c r="W6" s="58">
        <f>7477551.28+5261178.79</f>
        <v>12738730.07</v>
      </c>
      <c r="X6" s="55">
        <f>11216326.92+7891768.18</f>
        <v>19108095.100000001</v>
      </c>
      <c r="Y6" s="58">
        <f>W22+W6</f>
        <v>13077694.1</v>
      </c>
      <c r="Z6" s="58">
        <v>1717907</v>
      </c>
      <c r="AA6" s="58">
        <v>7485885</v>
      </c>
      <c r="AB6" s="58">
        <f t="shared" ref="AB6:AB18" si="0">AA6+Z6</f>
        <v>9203792</v>
      </c>
      <c r="AC6" s="58">
        <v>440095</v>
      </c>
      <c r="AD6" s="58">
        <v>1298827</v>
      </c>
      <c r="AE6" s="58">
        <f>AD6+AC6</f>
        <v>1738922</v>
      </c>
      <c r="AF6" s="58"/>
      <c r="AG6" s="58"/>
      <c r="AH6" s="58">
        <v>43852063</v>
      </c>
      <c r="AI6" s="58">
        <v>4247393</v>
      </c>
      <c r="AJ6" s="58">
        <v>15943532</v>
      </c>
      <c r="AK6" s="58">
        <f>AJ6+AI6</f>
        <v>20190925</v>
      </c>
      <c r="AL6" s="58">
        <v>255470</v>
      </c>
      <c r="AM6" s="58">
        <v>305937</v>
      </c>
      <c r="AN6" s="58">
        <f>AM6+AL6</f>
        <v>561407</v>
      </c>
      <c r="AO6" s="58">
        <v>814683</v>
      </c>
      <c r="AP6" s="58">
        <v>1577515</v>
      </c>
      <c r="AQ6" s="58">
        <f>AP6+AO6</f>
        <v>2392198</v>
      </c>
      <c r="AR6" s="58">
        <v>631332</v>
      </c>
      <c r="AS6" s="58">
        <v>2132219</v>
      </c>
      <c r="AT6" s="58">
        <f>AS6+AR6</f>
        <v>2763551</v>
      </c>
      <c r="AU6" s="58">
        <v>306359</v>
      </c>
      <c r="AV6" s="58">
        <v>1118787</v>
      </c>
      <c r="AW6" s="58">
        <f>AV6+AU6</f>
        <v>1425146</v>
      </c>
      <c r="AX6" s="58">
        <v>14530680</v>
      </c>
      <c r="AY6" s="58">
        <v>56358603</v>
      </c>
      <c r="AZ6" s="58">
        <f>AY6+AX6</f>
        <v>70889283</v>
      </c>
      <c r="BA6" s="58"/>
      <c r="BB6" s="58"/>
      <c r="BC6" s="58">
        <v>43570419</v>
      </c>
      <c r="BD6" s="58"/>
      <c r="BE6" s="58"/>
      <c r="BF6" s="70">
        <v>48309402</v>
      </c>
      <c r="BG6" s="58"/>
      <c r="BH6" s="58"/>
      <c r="BI6" s="58">
        <v>974641</v>
      </c>
      <c r="BJ6" s="58">
        <v>2749229</v>
      </c>
      <c r="BK6" s="58">
        <v>14157622</v>
      </c>
      <c r="BL6" s="58">
        <f>BK6+BJ6</f>
        <v>16906851</v>
      </c>
      <c r="BM6" s="58"/>
      <c r="BN6" s="58"/>
      <c r="BO6" s="58">
        <v>1259198.8999999999</v>
      </c>
      <c r="BP6" s="58">
        <v>2375581</v>
      </c>
      <c r="BQ6" s="58">
        <v>9054511</v>
      </c>
      <c r="BR6" s="58">
        <f>BQ6+BP6</f>
        <v>11430092</v>
      </c>
      <c r="BS6" s="58">
        <v>2284441</v>
      </c>
      <c r="BT6" s="58">
        <v>10499167</v>
      </c>
      <c r="BU6" s="58">
        <f>BT6+BS6</f>
        <v>12783608</v>
      </c>
      <c r="BV6" s="58">
        <v>1950041</v>
      </c>
      <c r="BW6" s="58">
        <v>16223947</v>
      </c>
      <c r="BX6" s="58">
        <f>BW6+BV6</f>
        <v>18173988</v>
      </c>
      <c r="BY6" s="58">
        <v>2701042</v>
      </c>
      <c r="BZ6" s="58">
        <v>4406963</v>
      </c>
      <c r="CA6" s="58">
        <f>BZ6+BY6</f>
        <v>7108005</v>
      </c>
      <c r="CB6" s="58">
        <v>2826480</v>
      </c>
      <c r="CC6" s="58">
        <v>11205969</v>
      </c>
      <c r="CD6" s="58">
        <f>CC6+CB6</f>
        <v>14032449</v>
      </c>
      <c r="CE6" s="58"/>
      <c r="CF6" s="58"/>
      <c r="CG6" s="58">
        <v>70118751</v>
      </c>
      <c r="CH6" s="58">
        <v>622215</v>
      </c>
      <c r="CI6" s="58">
        <v>4632932</v>
      </c>
      <c r="CJ6" s="58">
        <f>CI6+CH6</f>
        <v>5255147</v>
      </c>
    </row>
    <row r="7" spans="1:88" ht="15" customHeight="1" x14ac:dyDescent="0.25">
      <c r="A7" s="59" t="s">
        <v>192</v>
      </c>
      <c r="B7" s="58">
        <v>153859</v>
      </c>
      <c r="C7" s="58">
        <v>52338</v>
      </c>
      <c r="D7" s="58">
        <f t="shared" ref="D7:D19" si="1">C7+B7</f>
        <v>206197</v>
      </c>
      <c r="E7" s="58"/>
      <c r="F7" s="58"/>
      <c r="G7" s="58">
        <v>7759501</v>
      </c>
      <c r="H7" s="58"/>
      <c r="I7" s="58"/>
      <c r="J7" s="58">
        <f t="shared" ref="J7:J19" si="2">I7+H7</f>
        <v>0</v>
      </c>
      <c r="K7" s="58"/>
      <c r="L7" s="58"/>
      <c r="M7" s="58">
        <f t="shared" ref="M7:M17" si="3">L7+K7</f>
        <v>0</v>
      </c>
      <c r="N7" s="58"/>
      <c r="O7" s="58">
        <v>8712436</v>
      </c>
      <c r="P7" s="58">
        <f t="shared" ref="P7:P19" si="4">O7+N7</f>
        <v>8712436</v>
      </c>
      <c r="Q7" s="58"/>
      <c r="R7" s="58"/>
      <c r="S7" s="58">
        <f t="shared" ref="S7:S19" si="5">R7+Q7</f>
        <v>0</v>
      </c>
      <c r="T7" s="58">
        <v>104015</v>
      </c>
      <c r="U7" s="58">
        <v>102579</v>
      </c>
      <c r="V7" s="58">
        <f t="shared" ref="V7:V19" si="6">U7+T7</f>
        <v>206594</v>
      </c>
      <c r="W7" s="58">
        <v>260370.03</v>
      </c>
      <c r="X7" s="58">
        <v>390555.05</v>
      </c>
      <c r="Y7" s="58">
        <f t="shared" ref="Y7:Y19" si="7">X7+W7</f>
        <v>650925.07999999996</v>
      </c>
      <c r="Z7" s="58"/>
      <c r="AA7" s="58"/>
      <c r="AB7" s="58">
        <f t="shared" si="0"/>
        <v>0</v>
      </c>
      <c r="AC7" s="58">
        <v>160794</v>
      </c>
      <c r="AD7" s="58">
        <v>474541</v>
      </c>
      <c r="AE7" s="58">
        <f t="shared" ref="AE7:AE19" si="8">AD7+AC7</f>
        <v>635335</v>
      </c>
      <c r="AF7" s="58"/>
      <c r="AG7" s="58"/>
      <c r="AH7" s="58">
        <v>250000</v>
      </c>
      <c r="AI7" s="58"/>
      <c r="AJ7" s="58"/>
      <c r="AK7" s="58">
        <f t="shared" ref="AK7:AK19" si="9">AJ7+AI7</f>
        <v>0</v>
      </c>
      <c r="AL7" s="58"/>
      <c r="AM7" s="58"/>
      <c r="AN7" s="58">
        <f t="shared" ref="AN7:AN19" si="10">AM7+AL7</f>
        <v>0</v>
      </c>
      <c r="AO7" s="58"/>
      <c r="AP7" s="58"/>
      <c r="AQ7" s="58">
        <f t="shared" ref="AQ7:AQ19" si="11">AP7+AO7</f>
        <v>0</v>
      </c>
      <c r="AR7" s="58">
        <v>153737</v>
      </c>
      <c r="AS7" s="58">
        <v>519220</v>
      </c>
      <c r="AT7" s="58">
        <f t="shared" ref="AT7:AT19" si="12">AS7+AR7</f>
        <v>672957</v>
      </c>
      <c r="AU7" s="58">
        <v>514540</v>
      </c>
      <c r="AV7" s="58"/>
      <c r="AW7" s="58">
        <f t="shared" ref="AW7:AW19" si="13">AV7+AU7</f>
        <v>514540</v>
      </c>
      <c r="AX7" s="58">
        <v>57050</v>
      </c>
      <c r="AY7" s="58">
        <v>221275</v>
      </c>
      <c r="AZ7" s="58">
        <f t="shared" ref="AZ7:AZ19" si="14">AY7+AX7</f>
        <v>278325</v>
      </c>
      <c r="BA7" s="58"/>
      <c r="BB7" s="58"/>
      <c r="BC7" s="58">
        <f t="shared" ref="BC7:BC17" si="15">BB7+BA7</f>
        <v>0</v>
      </c>
      <c r="BD7" s="58"/>
      <c r="BE7" s="58"/>
      <c r="BF7" s="58"/>
      <c r="BG7" s="58"/>
      <c r="BH7" s="58"/>
      <c r="BI7" s="58">
        <f t="shared" ref="BI7:BI19" si="16">BH7+BG7</f>
        <v>0</v>
      </c>
      <c r="BJ7" s="58">
        <v>1421862</v>
      </c>
      <c r="BK7" s="58">
        <v>7322122</v>
      </c>
      <c r="BL7" s="58">
        <f t="shared" ref="BL7:BL19" si="17">BK7+BJ7</f>
        <v>8743984</v>
      </c>
      <c r="BM7" s="58"/>
      <c r="BN7" s="58"/>
      <c r="BO7" s="58">
        <v>646536.69999999995</v>
      </c>
      <c r="BP7" s="58"/>
      <c r="BQ7" s="58"/>
      <c r="BR7" s="58">
        <f t="shared" ref="BR7:BR19" si="18">BQ7+BP7</f>
        <v>0</v>
      </c>
      <c r="BS7" s="58">
        <v>1113250</v>
      </c>
      <c r="BT7" s="58">
        <v>4947305</v>
      </c>
      <c r="BU7" s="58">
        <f t="shared" ref="BU7:BU19" si="19">BT7+BS7</f>
        <v>6060555</v>
      </c>
      <c r="BV7" s="58">
        <v>561388</v>
      </c>
      <c r="BW7" s="58">
        <v>71112</v>
      </c>
      <c r="BX7" s="58">
        <f t="shared" ref="BX7:BX19" si="20">BW7+BV7</f>
        <v>632500</v>
      </c>
      <c r="BY7" s="58"/>
      <c r="BZ7" s="58"/>
      <c r="CA7" s="58">
        <f t="shared" ref="CA7:CA19" si="21">BZ7+BY7</f>
        <v>0</v>
      </c>
      <c r="CB7" s="58"/>
      <c r="CC7" s="58"/>
      <c r="CD7" s="58">
        <f t="shared" ref="CD7:CD19" si="22">CC7+CB7</f>
        <v>0</v>
      </c>
      <c r="CE7" s="58"/>
      <c r="CF7" s="58"/>
      <c r="CG7" s="58">
        <f t="shared" ref="CG7:CG17" si="23">CF7+CE7</f>
        <v>0</v>
      </c>
      <c r="CH7" s="58">
        <v>4732</v>
      </c>
      <c r="CI7" s="58">
        <v>35234</v>
      </c>
      <c r="CJ7" s="58">
        <f t="shared" ref="CJ7:CJ19" si="24">CI7+CH7</f>
        <v>39966</v>
      </c>
    </row>
    <row r="8" spans="1:88" ht="15" customHeight="1" x14ac:dyDescent="0.25">
      <c r="A8" s="59" t="s">
        <v>193</v>
      </c>
      <c r="B8" s="58"/>
      <c r="C8" s="58"/>
      <c r="D8" s="58">
        <f t="shared" si="1"/>
        <v>0</v>
      </c>
      <c r="E8" s="58"/>
      <c r="F8" s="58"/>
      <c r="G8" s="58">
        <f t="shared" ref="G8:G17" si="25">F8+E8</f>
        <v>0</v>
      </c>
      <c r="H8" s="58"/>
      <c r="I8" s="58"/>
      <c r="J8" s="58">
        <f t="shared" si="2"/>
        <v>0</v>
      </c>
      <c r="K8" s="58"/>
      <c r="L8" s="58"/>
      <c r="M8" s="58">
        <f t="shared" si="3"/>
        <v>0</v>
      </c>
      <c r="N8" s="58"/>
      <c r="O8" s="58"/>
      <c r="P8" s="58">
        <f t="shared" si="4"/>
        <v>0</v>
      </c>
      <c r="Q8" s="58"/>
      <c r="R8" s="58"/>
      <c r="S8" s="58">
        <f t="shared" si="5"/>
        <v>0</v>
      </c>
      <c r="T8" s="58"/>
      <c r="U8" s="58"/>
      <c r="V8" s="58">
        <f t="shared" si="6"/>
        <v>0</v>
      </c>
      <c r="W8" s="58"/>
      <c r="X8" s="58"/>
      <c r="Y8" s="58">
        <f t="shared" si="7"/>
        <v>0</v>
      </c>
      <c r="Z8" s="58"/>
      <c r="AA8" s="58"/>
      <c r="AB8" s="58">
        <f t="shared" si="0"/>
        <v>0</v>
      </c>
      <c r="AC8" s="58"/>
      <c r="AD8" s="58"/>
      <c r="AE8" s="58">
        <f t="shared" si="8"/>
        <v>0</v>
      </c>
      <c r="AF8" s="58"/>
      <c r="AG8" s="58"/>
      <c r="AH8" s="58">
        <f t="shared" ref="AH8:AH19" si="26">AG8+AF8</f>
        <v>0</v>
      </c>
      <c r="AI8" s="58"/>
      <c r="AJ8" s="58"/>
      <c r="AK8" s="58">
        <f t="shared" si="9"/>
        <v>0</v>
      </c>
      <c r="AL8" s="58"/>
      <c r="AM8" s="58"/>
      <c r="AN8" s="58">
        <f t="shared" si="10"/>
        <v>0</v>
      </c>
      <c r="AO8" s="58"/>
      <c r="AP8" s="58"/>
      <c r="AQ8" s="58">
        <f t="shared" si="11"/>
        <v>0</v>
      </c>
      <c r="AR8" s="58"/>
      <c r="AS8" s="58"/>
      <c r="AT8" s="58">
        <f t="shared" si="12"/>
        <v>0</v>
      </c>
      <c r="AU8" s="58"/>
      <c r="AV8" s="58"/>
      <c r="AW8" s="58">
        <f t="shared" si="13"/>
        <v>0</v>
      </c>
      <c r="AX8" s="58"/>
      <c r="AY8" s="58"/>
      <c r="AZ8" s="58">
        <f t="shared" si="14"/>
        <v>0</v>
      </c>
      <c r="BA8" s="58"/>
      <c r="BB8" s="58"/>
      <c r="BC8" s="58">
        <f t="shared" si="15"/>
        <v>0</v>
      </c>
      <c r="BD8" s="58"/>
      <c r="BE8" s="58"/>
      <c r="BF8" s="58"/>
      <c r="BG8" s="58"/>
      <c r="BH8" s="58"/>
      <c r="BI8" s="58">
        <f t="shared" si="16"/>
        <v>0</v>
      </c>
      <c r="BJ8" s="58"/>
      <c r="BK8" s="58"/>
      <c r="BL8" s="58">
        <f t="shared" si="17"/>
        <v>0</v>
      </c>
      <c r="BM8" s="58"/>
      <c r="BN8" s="58"/>
      <c r="BO8" s="58">
        <f>BM8+BN8</f>
        <v>0</v>
      </c>
      <c r="BP8" s="58"/>
      <c r="BQ8" s="58"/>
      <c r="BR8" s="58">
        <f t="shared" si="18"/>
        <v>0</v>
      </c>
      <c r="BS8" s="58"/>
      <c r="BT8" s="58"/>
      <c r="BU8" s="58">
        <f t="shared" si="19"/>
        <v>0</v>
      </c>
      <c r="BV8" s="58"/>
      <c r="BW8" s="58"/>
      <c r="BX8" s="58">
        <f t="shared" si="20"/>
        <v>0</v>
      </c>
      <c r="BY8" s="58"/>
      <c r="BZ8" s="58"/>
      <c r="CA8" s="58">
        <f t="shared" si="21"/>
        <v>0</v>
      </c>
      <c r="CB8" s="58"/>
      <c r="CC8" s="58"/>
      <c r="CD8" s="58">
        <f t="shared" si="22"/>
        <v>0</v>
      </c>
      <c r="CE8" s="58"/>
      <c r="CF8" s="58"/>
      <c r="CG8" s="58">
        <f t="shared" si="23"/>
        <v>0</v>
      </c>
      <c r="CH8" s="58"/>
      <c r="CI8" s="58"/>
      <c r="CJ8" s="58">
        <f t="shared" si="24"/>
        <v>0</v>
      </c>
    </row>
    <row r="9" spans="1:88" ht="15" customHeight="1" x14ac:dyDescent="0.25">
      <c r="A9" s="59" t="s">
        <v>194</v>
      </c>
      <c r="B9" s="58"/>
      <c r="C9" s="58"/>
      <c r="D9" s="58">
        <f t="shared" si="1"/>
        <v>0</v>
      </c>
      <c r="E9" s="58"/>
      <c r="F9" s="58"/>
      <c r="G9" s="58">
        <f t="shared" si="25"/>
        <v>0</v>
      </c>
      <c r="H9" s="58"/>
      <c r="I9" s="58"/>
      <c r="J9" s="58">
        <f t="shared" si="2"/>
        <v>0</v>
      </c>
      <c r="K9" s="58"/>
      <c r="L9" s="58"/>
      <c r="M9" s="58">
        <f t="shared" si="3"/>
        <v>0</v>
      </c>
      <c r="N9" s="58"/>
      <c r="O9" s="58"/>
      <c r="P9" s="58">
        <f t="shared" si="4"/>
        <v>0</v>
      </c>
      <c r="Q9" s="58"/>
      <c r="R9" s="58"/>
      <c r="S9" s="58">
        <f t="shared" si="5"/>
        <v>0</v>
      </c>
      <c r="T9" s="58"/>
      <c r="U9" s="58"/>
      <c r="V9" s="58">
        <f t="shared" si="6"/>
        <v>0</v>
      </c>
      <c r="W9" s="58"/>
      <c r="X9" s="58"/>
      <c r="Y9" s="58">
        <f t="shared" si="7"/>
        <v>0</v>
      </c>
      <c r="Z9" s="58"/>
      <c r="AA9" s="58"/>
      <c r="AB9" s="58">
        <f t="shared" si="0"/>
        <v>0</v>
      </c>
      <c r="AC9" s="58"/>
      <c r="AD9" s="58"/>
      <c r="AE9" s="58">
        <f t="shared" si="8"/>
        <v>0</v>
      </c>
      <c r="AF9" s="58"/>
      <c r="AG9" s="58"/>
      <c r="AH9" s="58">
        <f t="shared" si="26"/>
        <v>0</v>
      </c>
      <c r="AI9" s="58"/>
      <c r="AJ9" s="58"/>
      <c r="AK9" s="58">
        <f t="shared" si="9"/>
        <v>0</v>
      </c>
      <c r="AL9" s="58"/>
      <c r="AM9" s="58"/>
      <c r="AN9" s="58">
        <f t="shared" si="10"/>
        <v>0</v>
      </c>
      <c r="AO9" s="58"/>
      <c r="AP9" s="58"/>
      <c r="AQ9" s="58">
        <f t="shared" si="11"/>
        <v>0</v>
      </c>
      <c r="AR9" s="58"/>
      <c r="AS9" s="58"/>
      <c r="AT9" s="58">
        <f t="shared" si="12"/>
        <v>0</v>
      </c>
      <c r="AU9" s="58"/>
      <c r="AV9" s="58"/>
      <c r="AW9" s="58">
        <f t="shared" si="13"/>
        <v>0</v>
      </c>
      <c r="AX9" s="58"/>
      <c r="AY9" s="58"/>
      <c r="AZ9" s="58">
        <f t="shared" si="14"/>
        <v>0</v>
      </c>
      <c r="BA9" s="58"/>
      <c r="BB9" s="58"/>
      <c r="BC9" s="58">
        <f t="shared" si="15"/>
        <v>0</v>
      </c>
      <c r="BD9" s="58"/>
      <c r="BE9" s="58"/>
      <c r="BF9" s="58"/>
      <c r="BG9" s="58"/>
      <c r="BH9" s="58"/>
      <c r="BI9" s="58">
        <f t="shared" si="16"/>
        <v>0</v>
      </c>
      <c r="BJ9" s="58"/>
      <c r="BK9" s="58"/>
      <c r="BL9" s="58">
        <f t="shared" si="17"/>
        <v>0</v>
      </c>
      <c r="BM9" s="58"/>
      <c r="BN9" s="58"/>
      <c r="BO9" s="58">
        <f t="shared" ref="BO9:BO12" si="27">BM9+BN9</f>
        <v>0</v>
      </c>
      <c r="BP9" s="58"/>
      <c r="BQ9" s="58"/>
      <c r="BR9" s="58">
        <f t="shared" si="18"/>
        <v>0</v>
      </c>
      <c r="BS9" s="58"/>
      <c r="BT9" s="58"/>
      <c r="BU9" s="58">
        <f t="shared" si="19"/>
        <v>0</v>
      </c>
      <c r="BV9" s="58"/>
      <c r="BW9" s="58"/>
      <c r="BX9" s="58">
        <f t="shared" si="20"/>
        <v>0</v>
      </c>
      <c r="BY9" s="58"/>
      <c r="BZ9" s="58"/>
      <c r="CA9" s="58">
        <f t="shared" si="21"/>
        <v>0</v>
      </c>
      <c r="CB9" s="58"/>
      <c r="CC9" s="58"/>
      <c r="CD9" s="58">
        <f t="shared" si="22"/>
        <v>0</v>
      </c>
      <c r="CE9" s="58"/>
      <c r="CF9" s="58"/>
      <c r="CG9" s="58">
        <f t="shared" si="23"/>
        <v>0</v>
      </c>
      <c r="CH9" s="58"/>
      <c r="CI9" s="58"/>
      <c r="CJ9" s="58">
        <f t="shared" si="24"/>
        <v>0</v>
      </c>
    </row>
    <row r="10" spans="1:88" ht="15" customHeight="1" x14ac:dyDescent="0.25">
      <c r="A10" s="59" t="s">
        <v>195</v>
      </c>
      <c r="B10" s="58"/>
      <c r="C10" s="58"/>
      <c r="D10" s="58">
        <f t="shared" si="1"/>
        <v>0</v>
      </c>
      <c r="E10" s="58"/>
      <c r="F10" s="58"/>
      <c r="G10" s="58">
        <v>2077290</v>
      </c>
      <c r="H10" s="58"/>
      <c r="I10" s="58"/>
      <c r="J10" s="58">
        <f t="shared" si="2"/>
        <v>0</v>
      </c>
      <c r="K10" s="58"/>
      <c r="L10" s="58"/>
      <c r="M10" s="58">
        <v>3162701</v>
      </c>
      <c r="N10" s="58"/>
      <c r="O10" s="58"/>
      <c r="P10" s="58">
        <f t="shared" si="4"/>
        <v>0</v>
      </c>
      <c r="Q10" s="58">
        <v>186528</v>
      </c>
      <c r="R10" s="58">
        <v>951061</v>
      </c>
      <c r="S10" s="58">
        <f t="shared" si="5"/>
        <v>1137589</v>
      </c>
      <c r="T10" s="58"/>
      <c r="U10" s="58"/>
      <c r="V10" s="58">
        <f t="shared" si="6"/>
        <v>0</v>
      </c>
      <c r="W10" s="58">
        <v>3530082.7</v>
      </c>
      <c r="X10" s="58">
        <v>5295124.0599999996</v>
      </c>
      <c r="Y10" s="58">
        <f t="shared" si="7"/>
        <v>8825206.7599999998</v>
      </c>
      <c r="Z10" s="58"/>
      <c r="AA10" s="58"/>
      <c r="AB10" s="58">
        <f t="shared" si="0"/>
        <v>0</v>
      </c>
      <c r="AC10" s="58"/>
      <c r="AD10" s="58"/>
      <c r="AE10" s="58">
        <f t="shared" si="8"/>
        <v>0</v>
      </c>
      <c r="AF10" s="58"/>
      <c r="AG10" s="58"/>
      <c r="AH10" s="58">
        <v>22170294</v>
      </c>
      <c r="AI10" s="58">
        <v>5435</v>
      </c>
      <c r="AJ10" s="58">
        <v>20400</v>
      </c>
      <c r="AK10" s="58">
        <f t="shared" si="9"/>
        <v>25835</v>
      </c>
      <c r="AL10" s="58"/>
      <c r="AM10" s="58"/>
      <c r="AN10" s="58">
        <f t="shared" si="10"/>
        <v>0</v>
      </c>
      <c r="AO10" s="58"/>
      <c r="AP10" s="58"/>
      <c r="AQ10" s="58">
        <f t="shared" si="11"/>
        <v>0</v>
      </c>
      <c r="AR10" s="58"/>
      <c r="AS10" s="58"/>
      <c r="AT10" s="58">
        <f t="shared" si="12"/>
        <v>0</v>
      </c>
      <c r="AU10" s="58"/>
      <c r="AV10" s="58"/>
      <c r="AW10" s="58">
        <f t="shared" si="13"/>
        <v>0</v>
      </c>
      <c r="AX10" s="58">
        <v>23573207</v>
      </c>
      <c r="AY10" s="58">
        <v>91430892</v>
      </c>
      <c r="AZ10" s="58">
        <f t="shared" si="14"/>
        <v>115004099</v>
      </c>
      <c r="BA10" s="58"/>
      <c r="BB10" s="58"/>
      <c r="BC10" s="58">
        <v>91107181</v>
      </c>
      <c r="BD10" s="58"/>
      <c r="BE10" s="58"/>
      <c r="BF10" s="70">
        <v>106949029</v>
      </c>
      <c r="BG10" s="58"/>
      <c r="BH10" s="58"/>
      <c r="BI10" s="58">
        <f t="shared" si="16"/>
        <v>0</v>
      </c>
      <c r="BJ10" s="58">
        <v>124045</v>
      </c>
      <c r="BK10" s="58">
        <v>638797</v>
      </c>
      <c r="BL10" s="58">
        <f t="shared" si="17"/>
        <v>762842</v>
      </c>
      <c r="BM10" s="58"/>
      <c r="BN10" s="58"/>
      <c r="BO10" s="58">
        <f t="shared" si="27"/>
        <v>0</v>
      </c>
      <c r="BP10" s="58"/>
      <c r="BQ10" s="58"/>
      <c r="BR10" s="58">
        <f t="shared" si="18"/>
        <v>0</v>
      </c>
      <c r="BS10" s="58">
        <v>416485</v>
      </c>
      <c r="BT10" s="58"/>
      <c r="BU10" s="58">
        <f t="shared" si="19"/>
        <v>416485</v>
      </c>
      <c r="BV10" s="58">
        <v>637462</v>
      </c>
      <c r="BW10" s="58"/>
      <c r="BX10" s="58">
        <f t="shared" si="20"/>
        <v>637462</v>
      </c>
      <c r="BY10" s="58"/>
      <c r="BZ10" s="58"/>
      <c r="CA10" s="58">
        <f t="shared" si="21"/>
        <v>0</v>
      </c>
      <c r="CB10" s="58">
        <v>908126</v>
      </c>
      <c r="CC10" s="58">
        <v>3600389</v>
      </c>
      <c r="CD10" s="58">
        <f t="shared" si="22"/>
        <v>4508515</v>
      </c>
      <c r="CE10" s="58"/>
      <c r="CF10" s="58"/>
      <c r="CG10" s="58">
        <v>88010798</v>
      </c>
      <c r="CH10" s="58"/>
      <c r="CI10" s="58"/>
      <c r="CJ10" s="58">
        <f t="shared" si="24"/>
        <v>0</v>
      </c>
    </row>
    <row r="11" spans="1:88" ht="15" customHeight="1" x14ac:dyDescent="0.25">
      <c r="A11" s="59" t="s">
        <v>196</v>
      </c>
      <c r="B11" s="58"/>
      <c r="C11" s="58"/>
      <c r="D11" s="58">
        <f t="shared" si="1"/>
        <v>0</v>
      </c>
      <c r="E11" s="58"/>
      <c r="F11" s="58"/>
      <c r="G11" s="58">
        <f t="shared" si="25"/>
        <v>0</v>
      </c>
      <c r="H11" s="58"/>
      <c r="I11" s="58"/>
      <c r="J11" s="58">
        <f t="shared" si="2"/>
        <v>0</v>
      </c>
      <c r="K11" s="58"/>
      <c r="L11" s="58"/>
      <c r="M11" s="58">
        <v>752500</v>
      </c>
      <c r="N11" s="58"/>
      <c r="O11" s="58"/>
      <c r="P11" s="58">
        <f t="shared" si="4"/>
        <v>0</v>
      </c>
      <c r="Q11" s="58"/>
      <c r="R11" s="58"/>
      <c r="S11" s="58">
        <f t="shared" si="5"/>
        <v>0</v>
      </c>
      <c r="T11" s="58"/>
      <c r="U11" s="58"/>
      <c r="V11" s="58">
        <f t="shared" si="6"/>
        <v>0</v>
      </c>
      <c r="W11" s="58"/>
      <c r="X11" s="58"/>
      <c r="Y11" s="58">
        <f t="shared" si="7"/>
        <v>0</v>
      </c>
      <c r="Z11" s="58"/>
      <c r="AA11" s="58"/>
      <c r="AB11" s="58">
        <f t="shared" si="0"/>
        <v>0</v>
      </c>
      <c r="AC11" s="58"/>
      <c r="AD11" s="58"/>
      <c r="AE11" s="58">
        <f t="shared" si="8"/>
        <v>0</v>
      </c>
      <c r="AF11" s="58"/>
      <c r="AG11" s="58"/>
      <c r="AH11" s="58">
        <v>59548</v>
      </c>
      <c r="AI11" s="58"/>
      <c r="AJ11" s="58"/>
      <c r="AK11" s="58">
        <f t="shared" si="9"/>
        <v>0</v>
      </c>
      <c r="AL11" s="58"/>
      <c r="AM11" s="58"/>
      <c r="AN11" s="58">
        <f t="shared" si="10"/>
        <v>0</v>
      </c>
      <c r="AO11" s="58"/>
      <c r="AP11" s="58"/>
      <c r="AQ11" s="58">
        <f t="shared" si="11"/>
        <v>0</v>
      </c>
      <c r="AR11" s="58">
        <v>20085</v>
      </c>
      <c r="AS11" s="58">
        <v>67832</v>
      </c>
      <c r="AT11" s="58">
        <f t="shared" si="12"/>
        <v>87917</v>
      </c>
      <c r="AU11" s="58"/>
      <c r="AV11" s="58"/>
      <c r="AW11" s="58">
        <f t="shared" si="13"/>
        <v>0</v>
      </c>
      <c r="AX11" s="58">
        <v>7977</v>
      </c>
      <c r="AY11" s="58">
        <v>30939</v>
      </c>
      <c r="AZ11" s="58">
        <f t="shared" si="14"/>
        <v>38916</v>
      </c>
      <c r="BA11" s="58"/>
      <c r="BB11" s="58"/>
      <c r="BC11" s="58">
        <v>656</v>
      </c>
      <c r="BD11" s="58"/>
      <c r="BE11" s="58"/>
      <c r="BF11" s="70">
        <v>73861</v>
      </c>
      <c r="BG11" s="58"/>
      <c r="BH11" s="58"/>
      <c r="BI11" s="58">
        <f t="shared" si="16"/>
        <v>0</v>
      </c>
      <c r="BJ11" s="58"/>
      <c r="BK11" s="58"/>
      <c r="BL11" s="58">
        <f t="shared" si="17"/>
        <v>0</v>
      </c>
      <c r="BM11" s="58"/>
      <c r="BN11" s="58"/>
      <c r="BO11" s="58">
        <f t="shared" si="27"/>
        <v>0</v>
      </c>
      <c r="BP11" s="58"/>
      <c r="BQ11" s="58"/>
      <c r="BR11" s="58">
        <f t="shared" si="18"/>
        <v>0</v>
      </c>
      <c r="BS11" s="58"/>
      <c r="BT11" s="58"/>
      <c r="BU11" s="58">
        <f t="shared" si="19"/>
        <v>0</v>
      </c>
      <c r="BV11" s="58"/>
      <c r="BW11" s="58"/>
      <c r="BX11" s="58">
        <f t="shared" si="20"/>
        <v>0</v>
      </c>
      <c r="BY11" s="58"/>
      <c r="BZ11" s="58"/>
      <c r="CA11" s="58">
        <f t="shared" si="21"/>
        <v>0</v>
      </c>
      <c r="CB11" s="58"/>
      <c r="CC11" s="58"/>
      <c r="CD11" s="58">
        <f t="shared" si="22"/>
        <v>0</v>
      </c>
      <c r="CE11" s="58"/>
      <c r="CF11" s="58"/>
      <c r="CG11" s="58">
        <v>4973</v>
      </c>
      <c r="CH11" s="58"/>
      <c r="CI11" s="58"/>
      <c r="CJ11" s="58">
        <f t="shared" si="24"/>
        <v>0</v>
      </c>
    </row>
    <row r="12" spans="1:88" ht="15" customHeight="1" x14ac:dyDescent="0.25">
      <c r="A12" s="59" t="s">
        <v>197</v>
      </c>
      <c r="B12" s="58"/>
      <c r="C12" s="58"/>
      <c r="D12" s="58">
        <f t="shared" si="1"/>
        <v>0</v>
      </c>
      <c r="E12" s="58"/>
      <c r="F12" s="58"/>
      <c r="G12" s="58">
        <f t="shared" si="25"/>
        <v>0</v>
      </c>
      <c r="H12" s="58"/>
      <c r="I12" s="58"/>
      <c r="J12" s="58">
        <f t="shared" si="2"/>
        <v>0</v>
      </c>
      <c r="K12" s="58"/>
      <c r="L12" s="58"/>
      <c r="M12" s="58">
        <f t="shared" si="3"/>
        <v>0</v>
      </c>
      <c r="N12" s="58"/>
      <c r="O12" s="58"/>
      <c r="P12" s="58">
        <f t="shared" si="4"/>
        <v>0</v>
      </c>
      <c r="Q12" s="58"/>
      <c r="R12" s="58"/>
      <c r="S12" s="58">
        <f t="shared" si="5"/>
        <v>0</v>
      </c>
      <c r="T12" s="58"/>
      <c r="U12" s="58"/>
      <c r="V12" s="58">
        <f t="shared" si="6"/>
        <v>0</v>
      </c>
      <c r="W12" s="58"/>
      <c r="X12" s="58"/>
      <c r="Y12" s="58">
        <f t="shared" si="7"/>
        <v>0</v>
      </c>
      <c r="Z12" s="58"/>
      <c r="AA12" s="58"/>
      <c r="AB12" s="58">
        <f t="shared" si="0"/>
        <v>0</v>
      </c>
      <c r="AC12" s="58"/>
      <c r="AD12" s="58"/>
      <c r="AE12" s="58">
        <f t="shared" si="8"/>
        <v>0</v>
      </c>
      <c r="AF12" s="58"/>
      <c r="AG12" s="58"/>
      <c r="AH12" s="58">
        <f t="shared" si="26"/>
        <v>0</v>
      </c>
      <c r="AI12" s="58"/>
      <c r="AJ12" s="58"/>
      <c r="AK12" s="58">
        <f t="shared" si="9"/>
        <v>0</v>
      </c>
      <c r="AL12" s="58"/>
      <c r="AM12" s="58"/>
      <c r="AN12" s="58">
        <f t="shared" si="10"/>
        <v>0</v>
      </c>
      <c r="AO12" s="58"/>
      <c r="AP12" s="58"/>
      <c r="AQ12" s="58">
        <f t="shared" si="11"/>
        <v>0</v>
      </c>
      <c r="AR12" s="58"/>
      <c r="AS12" s="58"/>
      <c r="AT12" s="58">
        <f t="shared" si="12"/>
        <v>0</v>
      </c>
      <c r="AU12" s="58"/>
      <c r="AV12" s="58"/>
      <c r="AW12" s="58">
        <f t="shared" si="13"/>
        <v>0</v>
      </c>
      <c r="AX12" s="58"/>
      <c r="AY12" s="58"/>
      <c r="AZ12" s="58">
        <f t="shared" si="14"/>
        <v>0</v>
      </c>
      <c r="BA12" s="58"/>
      <c r="BB12" s="58"/>
      <c r="BC12" s="58">
        <v>335099</v>
      </c>
      <c r="BD12" s="58"/>
      <c r="BE12" s="58"/>
      <c r="BF12" s="58"/>
      <c r="BG12" s="58"/>
      <c r="BH12" s="58"/>
      <c r="BI12" s="58">
        <f t="shared" si="16"/>
        <v>0</v>
      </c>
      <c r="BJ12" s="58"/>
      <c r="BK12" s="58"/>
      <c r="BL12" s="58">
        <f t="shared" si="17"/>
        <v>0</v>
      </c>
      <c r="BM12" s="58"/>
      <c r="BN12" s="58"/>
      <c r="BO12" s="58">
        <f t="shared" si="27"/>
        <v>0</v>
      </c>
      <c r="BP12" s="58"/>
      <c r="BQ12" s="58"/>
      <c r="BR12" s="58">
        <f t="shared" si="18"/>
        <v>0</v>
      </c>
      <c r="BS12" s="58"/>
      <c r="BT12" s="58"/>
      <c r="BU12" s="58">
        <f t="shared" si="19"/>
        <v>0</v>
      </c>
      <c r="BV12" s="58"/>
      <c r="BW12" s="58"/>
      <c r="BX12" s="58">
        <f t="shared" si="20"/>
        <v>0</v>
      </c>
      <c r="BY12" s="58"/>
      <c r="BZ12" s="58"/>
      <c r="CA12" s="58">
        <f t="shared" si="21"/>
        <v>0</v>
      </c>
      <c r="CB12" s="58"/>
      <c r="CC12" s="58"/>
      <c r="CD12" s="58">
        <f t="shared" si="22"/>
        <v>0</v>
      </c>
      <c r="CE12" s="58"/>
      <c r="CF12" s="58"/>
      <c r="CG12" s="58">
        <f t="shared" si="23"/>
        <v>0</v>
      </c>
      <c r="CH12" s="58"/>
      <c r="CI12" s="58"/>
      <c r="CJ12" s="58">
        <f t="shared" si="24"/>
        <v>0</v>
      </c>
    </row>
    <row r="13" spans="1:88" ht="15" customHeight="1" x14ac:dyDescent="0.25">
      <c r="A13" s="59" t="s">
        <v>198</v>
      </c>
      <c r="B13" s="58">
        <v>202890</v>
      </c>
      <c r="C13" s="58">
        <v>203556</v>
      </c>
      <c r="D13" s="58">
        <f t="shared" si="1"/>
        <v>406446</v>
      </c>
      <c r="E13" s="58"/>
      <c r="F13" s="58"/>
      <c r="G13" s="58">
        <v>6834586</v>
      </c>
      <c r="H13" s="58"/>
      <c r="I13" s="58"/>
      <c r="J13" s="58">
        <v>1480003</v>
      </c>
      <c r="K13" s="58"/>
      <c r="L13" s="58"/>
      <c r="M13" s="58">
        <v>8535255</v>
      </c>
      <c r="N13" s="58"/>
      <c r="O13" s="58">
        <v>99925</v>
      </c>
      <c r="P13" s="58">
        <f t="shared" si="4"/>
        <v>99925</v>
      </c>
      <c r="Q13" s="58">
        <v>2478910</v>
      </c>
      <c r="R13" s="58">
        <v>12639390</v>
      </c>
      <c r="S13" s="58">
        <f t="shared" si="5"/>
        <v>15118300</v>
      </c>
      <c r="T13" s="58">
        <v>199363</v>
      </c>
      <c r="U13" s="58">
        <v>453159</v>
      </c>
      <c r="V13" s="58">
        <f t="shared" si="6"/>
        <v>652522</v>
      </c>
      <c r="W13" s="58">
        <f>4451764.15+1694914.41</f>
        <v>6146678.5600000005</v>
      </c>
      <c r="X13" s="58">
        <f>6677646.23+2542371.61</f>
        <v>9220017.8399999999</v>
      </c>
      <c r="Y13" s="58">
        <f t="shared" si="7"/>
        <v>15366696.4</v>
      </c>
      <c r="Z13" s="58">
        <v>1618602</v>
      </c>
      <c r="AA13" s="58">
        <v>7053157</v>
      </c>
      <c r="AB13" s="58">
        <f t="shared" si="0"/>
        <v>8671759</v>
      </c>
      <c r="AC13" s="58">
        <v>178264</v>
      </c>
      <c r="AD13" s="58">
        <v>526102</v>
      </c>
      <c r="AE13" s="58">
        <f t="shared" si="8"/>
        <v>704366</v>
      </c>
      <c r="AF13" s="58"/>
      <c r="AG13" s="58"/>
      <c r="AH13" s="58">
        <v>23326973</v>
      </c>
      <c r="AI13" s="58">
        <v>1549474</v>
      </c>
      <c r="AJ13" s="58">
        <v>5816294</v>
      </c>
      <c r="AK13" s="58">
        <f t="shared" si="9"/>
        <v>7365768</v>
      </c>
      <c r="AL13" s="58">
        <v>142519</v>
      </c>
      <c r="AM13" s="58">
        <v>107785</v>
      </c>
      <c r="AN13" s="58">
        <f t="shared" si="10"/>
        <v>250304</v>
      </c>
      <c r="AO13" s="58">
        <v>720346</v>
      </c>
      <c r="AP13" s="58">
        <v>1394844</v>
      </c>
      <c r="AQ13" s="58">
        <f t="shared" si="11"/>
        <v>2115190</v>
      </c>
      <c r="AR13" s="58">
        <v>432392</v>
      </c>
      <c r="AS13" s="58">
        <v>1460332</v>
      </c>
      <c r="AT13" s="58">
        <f t="shared" si="12"/>
        <v>1892724</v>
      </c>
      <c r="AU13" s="58">
        <v>255132</v>
      </c>
      <c r="AV13" s="58">
        <v>652994</v>
      </c>
      <c r="AW13" s="58">
        <f t="shared" si="13"/>
        <v>908126</v>
      </c>
      <c r="AX13" s="58">
        <v>3852403</v>
      </c>
      <c r="AY13" s="58">
        <v>14941908</v>
      </c>
      <c r="AZ13" s="58">
        <f t="shared" si="14"/>
        <v>18794311</v>
      </c>
      <c r="BA13" s="58"/>
      <c r="BB13" s="58"/>
      <c r="BC13" s="58">
        <v>8438124</v>
      </c>
      <c r="BD13" s="58"/>
      <c r="BE13" s="58"/>
      <c r="BF13" s="70">
        <v>26038731</v>
      </c>
      <c r="BG13" s="58"/>
      <c r="BH13" s="58"/>
      <c r="BI13" s="58">
        <v>956621</v>
      </c>
      <c r="BJ13" s="58">
        <v>3021365</v>
      </c>
      <c r="BK13" s="58">
        <v>15559031</v>
      </c>
      <c r="BL13" s="58">
        <f t="shared" si="17"/>
        <v>18580396</v>
      </c>
      <c r="BM13" s="58"/>
      <c r="BN13" s="58"/>
      <c r="BO13" s="58">
        <v>867480.5</v>
      </c>
      <c r="BP13" s="58">
        <v>1596137</v>
      </c>
      <c r="BQ13" s="58">
        <v>6083665</v>
      </c>
      <c r="BR13" s="58">
        <f t="shared" si="18"/>
        <v>7679802</v>
      </c>
      <c r="BS13" s="58">
        <v>850743</v>
      </c>
      <c r="BT13" s="58">
        <v>5554739</v>
      </c>
      <c r="BU13" s="58">
        <f t="shared" si="19"/>
        <v>6405482</v>
      </c>
      <c r="BV13" s="58">
        <v>215415</v>
      </c>
      <c r="BW13" s="58">
        <v>5243213</v>
      </c>
      <c r="BX13" s="58">
        <f t="shared" si="20"/>
        <v>5458628</v>
      </c>
      <c r="BY13" s="58">
        <v>889845</v>
      </c>
      <c r="BZ13" s="58">
        <v>1451853</v>
      </c>
      <c r="CA13" s="58">
        <f t="shared" si="21"/>
        <v>2341698</v>
      </c>
      <c r="CB13" s="58">
        <v>1409307</v>
      </c>
      <c r="CC13" s="58">
        <v>5587392</v>
      </c>
      <c r="CD13" s="58">
        <f t="shared" si="22"/>
        <v>6996699</v>
      </c>
      <c r="CE13" s="58"/>
      <c r="CF13" s="58"/>
      <c r="CG13" s="58">
        <v>20448954</v>
      </c>
      <c r="CH13" s="58">
        <v>465724</v>
      </c>
      <c r="CI13" s="58">
        <v>3467718</v>
      </c>
      <c r="CJ13" s="58">
        <f t="shared" si="24"/>
        <v>3933442</v>
      </c>
    </row>
    <row r="14" spans="1:88" ht="15" customHeight="1" x14ac:dyDescent="0.25">
      <c r="A14" s="59" t="s">
        <v>199</v>
      </c>
      <c r="B14" s="58"/>
      <c r="C14" s="58"/>
      <c r="D14" s="58">
        <f t="shared" si="1"/>
        <v>0</v>
      </c>
      <c r="E14" s="58"/>
      <c r="F14" s="58"/>
      <c r="G14" s="58">
        <f t="shared" si="25"/>
        <v>0</v>
      </c>
      <c r="H14" s="58"/>
      <c r="I14" s="58"/>
      <c r="J14" s="58">
        <v>1214345</v>
      </c>
      <c r="K14" s="58"/>
      <c r="L14" s="58"/>
      <c r="M14" s="58">
        <f t="shared" si="3"/>
        <v>0</v>
      </c>
      <c r="N14" s="58"/>
      <c r="O14" s="58"/>
      <c r="P14" s="58">
        <f t="shared" si="4"/>
        <v>0</v>
      </c>
      <c r="Q14" s="58">
        <v>60291</v>
      </c>
      <c r="R14" s="58">
        <f>307409+129800</f>
        <v>437209</v>
      </c>
      <c r="S14" s="58">
        <f t="shared" si="5"/>
        <v>497500</v>
      </c>
      <c r="T14" s="58"/>
      <c r="U14" s="58"/>
      <c r="V14" s="58">
        <f t="shared" si="6"/>
        <v>0</v>
      </c>
      <c r="W14" s="58"/>
      <c r="X14" s="58"/>
      <c r="Y14" s="58">
        <f t="shared" si="7"/>
        <v>0</v>
      </c>
      <c r="Z14" s="58">
        <v>9239</v>
      </c>
      <c r="AA14" s="58">
        <v>40261</v>
      </c>
      <c r="AB14" s="58">
        <f t="shared" si="0"/>
        <v>49500</v>
      </c>
      <c r="AC14" s="58"/>
      <c r="AD14" s="58"/>
      <c r="AE14" s="58">
        <f t="shared" si="8"/>
        <v>0</v>
      </c>
      <c r="AF14" s="58"/>
      <c r="AG14" s="58"/>
      <c r="AH14" s="58">
        <v>4279156</v>
      </c>
      <c r="AI14" s="58"/>
      <c r="AJ14" s="58"/>
      <c r="AK14" s="58">
        <f t="shared" si="9"/>
        <v>0</v>
      </c>
      <c r="AL14" s="58"/>
      <c r="AM14" s="58"/>
      <c r="AN14" s="58">
        <f t="shared" si="10"/>
        <v>0</v>
      </c>
      <c r="AO14" s="58"/>
      <c r="AP14" s="58"/>
      <c r="AQ14" s="58">
        <f t="shared" si="11"/>
        <v>0</v>
      </c>
      <c r="AR14" s="58">
        <v>45690</v>
      </c>
      <c r="AS14" s="58">
        <v>154310</v>
      </c>
      <c r="AT14" s="58">
        <f t="shared" si="12"/>
        <v>200000</v>
      </c>
      <c r="AU14" s="58"/>
      <c r="AV14" s="58">
        <v>22500</v>
      </c>
      <c r="AW14" s="58">
        <f t="shared" si="13"/>
        <v>22500</v>
      </c>
      <c r="AX14" s="58">
        <v>13237</v>
      </c>
      <c r="AY14" s="58">
        <v>51342</v>
      </c>
      <c r="AZ14" s="58">
        <f t="shared" si="14"/>
        <v>64579</v>
      </c>
      <c r="BA14" s="58"/>
      <c r="BB14" s="58"/>
      <c r="BC14" s="58">
        <v>61546</v>
      </c>
      <c r="BD14" s="58"/>
      <c r="BE14" s="58"/>
      <c r="BF14" s="58"/>
      <c r="BG14" s="58"/>
      <c r="BH14" s="58"/>
      <c r="BI14" s="58">
        <f t="shared" si="16"/>
        <v>0</v>
      </c>
      <c r="BJ14" s="58"/>
      <c r="BK14" s="58"/>
      <c r="BL14" s="58">
        <f t="shared" si="17"/>
        <v>0</v>
      </c>
      <c r="BM14" s="58"/>
      <c r="BN14" s="58"/>
      <c r="BO14" s="58">
        <v>249600</v>
      </c>
      <c r="BP14" s="58"/>
      <c r="BQ14" s="58"/>
      <c r="BR14" s="58">
        <f t="shared" si="18"/>
        <v>0</v>
      </c>
      <c r="BS14" s="58"/>
      <c r="BT14" s="58">
        <v>31100</v>
      </c>
      <c r="BU14" s="58">
        <f t="shared" si="19"/>
        <v>31100</v>
      </c>
      <c r="BV14" s="58"/>
      <c r="BW14" s="58"/>
      <c r="BX14" s="58">
        <f t="shared" si="20"/>
        <v>0</v>
      </c>
      <c r="BY14" s="58"/>
      <c r="BZ14" s="58"/>
      <c r="CA14" s="58">
        <f t="shared" si="21"/>
        <v>0</v>
      </c>
      <c r="CB14" s="58">
        <v>110663</v>
      </c>
      <c r="CC14" s="58">
        <v>438737</v>
      </c>
      <c r="CD14" s="58">
        <f t="shared" si="22"/>
        <v>549400</v>
      </c>
      <c r="CE14" s="58"/>
      <c r="CF14" s="58"/>
      <c r="CG14" s="58">
        <f t="shared" si="23"/>
        <v>0</v>
      </c>
      <c r="CH14" s="58"/>
      <c r="CI14" s="58"/>
      <c r="CJ14" s="58">
        <f t="shared" si="24"/>
        <v>0</v>
      </c>
    </row>
    <row r="15" spans="1:88" ht="15" customHeight="1" x14ac:dyDescent="0.25">
      <c r="A15" s="59" t="s">
        <v>200</v>
      </c>
      <c r="B15" s="58"/>
      <c r="C15" s="58"/>
      <c r="D15" s="58">
        <f t="shared" si="1"/>
        <v>0</v>
      </c>
      <c r="E15" s="58"/>
      <c r="F15" s="58"/>
      <c r="G15" s="58">
        <f t="shared" si="25"/>
        <v>0</v>
      </c>
      <c r="H15" s="58"/>
      <c r="I15" s="58"/>
      <c r="J15" s="58">
        <f t="shared" si="2"/>
        <v>0</v>
      </c>
      <c r="K15" s="58"/>
      <c r="L15" s="58"/>
      <c r="M15" s="58">
        <f t="shared" si="3"/>
        <v>0</v>
      </c>
      <c r="N15" s="58"/>
      <c r="O15" s="58"/>
      <c r="P15" s="58">
        <f t="shared" si="4"/>
        <v>0</v>
      </c>
      <c r="Q15" s="58"/>
      <c r="R15" s="58"/>
      <c r="S15" s="58">
        <f t="shared" si="5"/>
        <v>0</v>
      </c>
      <c r="T15" s="58"/>
      <c r="U15" s="58"/>
      <c r="V15" s="58">
        <f t="shared" si="6"/>
        <v>0</v>
      </c>
      <c r="W15" s="58"/>
      <c r="X15" s="58"/>
      <c r="Y15" s="58">
        <f t="shared" si="7"/>
        <v>0</v>
      </c>
      <c r="Z15" s="58"/>
      <c r="AA15" s="58"/>
      <c r="AB15" s="58">
        <f t="shared" si="0"/>
        <v>0</v>
      </c>
      <c r="AC15" s="58"/>
      <c r="AD15" s="58"/>
      <c r="AE15" s="58">
        <f t="shared" si="8"/>
        <v>0</v>
      </c>
      <c r="AF15" s="58"/>
      <c r="AG15" s="58"/>
      <c r="AH15" s="58">
        <f t="shared" si="26"/>
        <v>0</v>
      </c>
      <c r="AI15" s="58">
        <v>511370</v>
      </c>
      <c r="AJ15" s="58">
        <v>1919542</v>
      </c>
      <c r="AK15" s="58">
        <f t="shared" si="9"/>
        <v>2430912</v>
      </c>
      <c r="AL15" s="58"/>
      <c r="AM15" s="58"/>
      <c r="AN15" s="58">
        <f t="shared" si="10"/>
        <v>0</v>
      </c>
      <c r="AO15" s="58"/>
      <c r="AP15" s="58"/>
      <c r="AQ15" s="58">
        <f t="shared" si="11"/>
        <v>0</v>
      </c>
      <c r="AR15" s="58"/>
      <c r="AS15" s="58"/>
      <c r="AT15" s="58">
        <f t="shared" si="12"/>
        <v>0</v>
      </c>
      <c r="AU15" s="58"/>
      <c r="AV15" s="58"/>
      <c r="AW15" s="58">
        <f t="shared" si="13"/>
        <v>0</v>
      </c>
      <c r="AX15" s="58"/>
      <c r="AY15" s="58"/>
      <c r="AZ15" s="58">
        <f t="shared" si="14"/>
        <v>0</v>
      </c>
      <c r="BA15" s="58"/>
      <c r="BB15" s="58"/>
      <c r="BC15" s="58">
        <f t="shared" si="15"/>
        <v>0</v>
      </c>
      <c r="BD15" s="58"/>
      <c r="BE15" s="58"/>
      <c r="BF15" s="58"/>
      <c r="BG15" s="58"/>
      <c r="BH15" s="58"/>
      <c r="BI15" s="58">
        <f t="shared" si="16"/>
        <v>0</v>
      </c>
      <c r="BJ15" s="58"/>
      <c r="BK15" s="58"/>
      <c r="BL15" s="58">
        <f t="shared" si="17"/>
        <v>0</v>
      </c>
      <c r="BM15" s="58"/>
      <c r="BN15" s="58"/>
      <c r="BO15" s="58">
        <f t="shared" ref="BO15:BO17" si="28">BM15+BN15</f>
        <v>0</v>
      </c>
      <c r="BP15" s="58"/>
      <c r="BQ15" s="58"/>
      <c r="BR15" s="58">
        <f t="shared" si="18"/>
        <v>0</v>
      </c>
      <c r="BS15" s="58"/>
      <c r="BT15" s="58"/>
      <c r="BU15" s="58">
        <f t="shared" si="19"/>
        <v>0</v>
      </c>
      <c r="BV15" s="58"/>
      <c r="BW15" s="58"/>
      <c r="BX15" s="58">
        <f t="shared" si="20"/>
        <v>0</v>
      </c>
      <c r="BY15" s="58"/>
      <c r="BZ15" s="58"/>
      <c r="CA15" s="58">
        <f t="shared" si="21"/>
        <v>0</v>
      </c>
      <c r="CB15" s="58"/>
      <c r="CC15" s="58"/>
      <c r="CD15" s="58">
        <f t="shared" si="22"/>
        <v>0</v>
      </c>
      <c r="CE15" s="58"/>
      <c r="CF15" s="58"/>
      <c r="CG15" s="58">
        <f t="shared" si="23"/>
        <v>0</v>
      </c>
      <c r="CH15" s="58"/>
      <c r="CI15" s="58"/>
      <c r="CJ15" s="58">
        <f t="shared" si="24"/>
        <v>0</v>
      </c>
    </row>
    <row r="16" spans="1:88" ht="15" customHeight="1" x14ac:dyDescent="0.25">
      <c r="A16" s="59" t="s">
        <v>201</v>
      </c>
      <c r="B16" s="58"/>
      <c r="C16" s="58"/>
      <c r="D16" s="58">
        <f t="shared" si="1"/>
        <v>0</v>
      </c>
      <c r="E16" s="58"/>
      <c r="F16" s="58"/>
      <c r="G16" s="58">
        <f t="shared" si="25"/>
        <v>0</v>
      </c>
      <c r="H16" s="58"/>
      <c r="I16" s="58"/>
      <c r="J16" s="58">
        <f t="shared" si="2"/>
        <v>0</v>
      </c>
      <c r="K16" s="58"/>
      <c r="L16" s="58"/>
      <c r="M16" s="58">
        <f t="shared" si="3"/>
        <v>0</v>
      </c>
      <c r="N16" s="58"/>
      <c r="O16" s="58"/>
      <c r="P16" s="58">
        <f t="shared" si="4"/>
        <v>0</v>
      </c>
      <c r="Q16" s="58"/>
      <c r="R16" s="58"/>
      <c r="S16" s="58">
        <f t="shared" si="5"/>
        <v>0</v>
      </c>
      <c r="T16" s="58"/>
      <c r="U16" s="58"/>
      <c r="V16" s="58">
        <f t="shared" si="6"/>
        <v>0</v>
      </c>
      <c r="W16" s="58"/>
      <c r="X16" s="58"/>
      <c r="Y16" s="58">
        <f t="shared" si="7"/>
        <v>0</v>
      </c>
      <c r="Z16" s="58"/>
      <c r="AA16" s="58"/>
      <c r="AB16" s="58">
        <f t="shared" si="0"/>
        <v>0</v>
      </c>
      <c r="AC16" s="58"/>
      <c r="AD16" s="58"/>
      <c r="AE16" s="58">
        <f t="shared" si="8"/>
        <v>0</v>
      </c>
      <c r="AF16" s="58"/>
      <c r="AG16" s="58"/>
      <c r="AH16" s="58">
        <f t="shared" si="26"/>
        <v>0</v>
      </c>
      <c r="AI16" s="58">
        <v>1052</v>
      </c>
      <c r="AJ16" s="58">
        <v>3948</v>
      </c>
      <c r="AK16" s="58">
        <f t="shared" si="9"/>
        <v>5000</v>
      </c>
      <c r="AL16" s="58"/>
      <c r="AM16" s="58"/>
      <c r="AN16" s="58">
        <f t="shared" si="10"/>
        <v>0</v>
      </c>
      <c r="AO16" s="58"/>
      <c r="AP16" s="58"/>
      <c r="AQ16" s="58">
        <f t="shared" si="11"/>
        <v>0</v>
      </c>
      <c r="AR16" s="58"/>
      <c r="AS16" s="58"/>
      <c r="AT16" s="58">
        <f t="shared" si="12"/>
        <v>0</v>
      </c>
      <c r="AU16" s="58"/>
      <c r="AV16" s="58"/>
      <c r="AW16" s="58">
        <f t="shared" si="13"/>
        <v>0</v>
      </c>
      <c r="AX16" s="58"/>
      <c r="AY16" s="58"/>
      <c r="AZ16" s="58">
        <f t="shared" si="14"/>
        <v>0</v>
      </c>
      <c r="BA16" s="58"/>
      <c r="BB16" s="58"/>
      <c r="BC16" s="58">
        <v>470767</v>
      </c>
      <c r="BD16" s="58"/>
      <c r="BE16" s="58"/>
      <c r="BF16" s="58"/>
      <c r="BG16" s="58"/>
      <c r="BH16" s="58"/>
      <c r="BI16" s="58">
        <f t="shared" si="16"/>
        <v>0</v>
      </c>
      <c r="BJ16" s="58"/>
      <c r="BK16" s="58"/>
      <c r="BL16" s="58">
        <f t="shared" si="17"/>
        <v>0</v>
      </c>
      <c r="BM16" s="58"/>
      <c r="BN16" s="58"/>
      <c r="BO16" s="58">
        <f t="shared" si="28"/>
        <v>0</v>
      </c>
      <c r="BP16" s="58"/>
      <c r="BQ16" s="58"/>
      <c r="BR16" s="58">
        <f t="shared" si="18"/>
        <v>0</v>
      </c>
      <c r="BS16" s="58"/>
      <c r="BT16" s="58"/>
      <c r="BU16" s="58">
        <f t="shared" si="19"/>
        <v>0</v>
      </c>
      <c r="BV16" s="58">
        <v>257622</v>
      </c>
      <c r="BW16" s="58"/>
      <c r="BX16" s="58">
        <f t="shared" si="20"/>
        <v>257622</v>
      </c>
      <c r="BY16" s="58"/>
      <c r="BZ16" s="58"/>
      <c r="CA16" s="58">
        <f t="shared" si="21"/>
        <v>0</v>
      </c>
      <c r="CB16" s="58"/>
      <c r="CC16" s="58"/>
      <c r="CD16" s="58">
        <f t="shared" si="22"/>
        <v>0</v>
      </c>
      <c r="CE16" s="58"/>
      <c r="CF16" s="58"/>
      <c r="CG16" s="58">
        <f t="shared" si="23"/>
        <v>0</v>
      </c>
      <c r="CH16" s="58"/>
      <c r="CI16" s="58"/>
      <c r="CJ16" s="58">
        <f t="shared" si="24"/>
        <v>0</v>
      </c>
    </row>
    <row r="17" spans="1:88" ht="15" customHeight="1" x14ac:dyDescent="0.25">
      <c r="A17" s="59" t="s">
        <v>202</v>
      </c>
      <c r="B17" s="58"/>
      <c r="C17" s="58"/>
      <c r="D17" s="58">
        <f t="shared" si="1"/>
        <v>0</v>
      </c>
      <c r="E17" s="58"/>
      <c r="F17" s="58"/>
      <c r="G17" s="58">
        <f t="shared" si="25"/>
        <v>0</v>
      </c>
      <c r="H17" s="58"/>
      <c r="I17" s="58"/>
      <c r="J17" s="58">
        <f t="shared" si="2"/>
        <v>0</v>
      </c>
      <c r="K17" s="58"/>
      <c r="L17" s="58"/>
      <c r="M17" s="58">
        <f t="shared" si="3"/>
        <v>0</v>
      </c>
      <c r="N17" s="58"/>
      <c r="O17" s="58"/>
      <c r="P17" s="58">
        <f t="shared" si="4"/>
        <v>0</v>
      </c>
      <c r="Q17" s="58">
        <v>47264</v>
      </c>
      <c r="R17" s="58">
        <v>240987</v>
      </c>
      <c r="S17" s="58">
        <f t="shared" si="5"/>
        <v>288251</v>
      </c>
      <c r="T17" s="58"/>
      <c r="U17" s="58"/>
      <c r="V17" s="58">
        <f t="shared" si="6"/>
        <v>0</v>
      </c>
      <c r="W17" s="58"/>
      <c r="X17" s="58"/>
      <c r="Y17" s="58">
        <f t="shared" si="7"/>
        <v>0</v>
      </c>
      <c r="Z17" s="58"/>
      <c r="AA17" s="58"/>
      <c r="AB17" s="58">
        <f t="shared" si="0"/>
        <v>0</v>
      </c>
      <c r="AC17" s="58"/>
      <c r="AD17" s="58"/>
      <c r="AE17" s="58">
        <f t="shared" si="8"/>
        <v>0</v>
      </c>
      <c r="AF17" s="58"/>
      <c r="AG17" s="58"/>
      <c r="AH17" s="58">
        <v>1447046</v>
      </c>
      <c r="AI17" s="58"/>
      <c r="AJ17" s="58"/>
      <c r="AK17" s="58">
        <f t="shared" si="9"/>
        <v>0</v>
      </c>
      <c r="AL17" s="58"/>
      <c r="AM17" s="58"/>
      <c r="AN17" s="58">
        <f t="shared" si="10"/>
        <v>0</v>
      </c>
      <c r="AO17" s="58"/>
      <c r="AP17" s="58"/>
      <c r="AQ17" s="58">
        <f t="shared" si="11"/>
        <v>0</v>
      </c>
      <c r="AR17" s="58"/>
      <c r="AS17" s="58"/>
      <c r="AT17" s="58">
        <f t="shared" si="12"/>
        <v>0</v>
      </c>
      <c r="AU17" s="58"/>
      <c r="AV17" s="58"/>
      <c r="AW17" s="58">
        <f t="shared" si="13"/>
        <v>0</v>
      </c>
      <c r="AX17" s="58">
        <v>1043</v>
      </c>
      <c r="AY17" s="58">
        <v>4047</v>
      </c>
      <c r="AZ17" s="58">
        <f t="shared" si="14"/>
        <v>5090</v>
      </c>
      <c r="BA17" s="58"/>
      <c r="BB17" s="58"/>
      <c r="BC17" s="58">
        <f t="shared" si="15"/>
        <v>0</v>
      </c>
      <c r="BD17" s="58"/>
      <c r="BE17" s="58"/>
      <c r="BF17" s="58"/>
      <c r="BG17" s="58"/>
      <c r="BH17" s="58"/>
      <c r="BI17" s="58">
        <f t="shared" si="16"/>
        <v>0</v>
      </c>
      <c r="BJ17" s="58"/>
      <c r="BK17" s="58"/>
      <c r="BL17" s="58">
        <f t="shared" si="17"/>
        <v>0</v>
      </c>
      <c r="BM17" s="58"/>
      <c r="BN17" s="58"/>
      <c r="BO17" s="58">
        <f t="shared" si="28"/>
        <v>0</v>
      </c>
      <c r="BP17" s="58"/>
      <c r="BQ17" s="58"/>
      <c r="BR17" s="58">
        <f t="shared" si="18"/>
        <v>0</v>
      </c>
      <c r="BS17" s="58"/>
      <c r="BT17" s="58"/>
      <c r="BU17" s="58">
        <f t="shared" si="19"/>
        <v>0</v>
      </c>
      <c r="BV17" s="58"/>
      <c r="BW17" s="58"/>
      <c r="BX17" s="58">
        <f t="shared" si="20"/>
        <v>0</v>
      </c>
      <c r="BY17" s="58">
        <v>9541</v>
      </c>
      <c r="BZ17" s="58">
        <v>15567</v>
      </c>
      <c r="CA17" s="58">
        <f t="shared" si="21"/>
        <v>25108</v>
      </c>
      <c r="CB17" s="58"/>
      <c r="CC17" s="58"/>
      <c r="CD17" s="58">
        <f t="shared" si="22"/>
        <v>0</v>
      </c>
      <c r="CE17" s="58"/>
      <c r="CF17" s="58"/>
      <c r="CG17" s="58">
        <f t="shared" si="23"/>
        <v>0</v>
      </c>
      <c r="CH17" s="58"/>
      <c r="CI17" s="58"/>
      <c r="CJ17" s="58">
        <f t="shared" si="24"/>
        <v>0</v>
      </c>
    </row>
    <row r="18" spans="1:88" ht="15" customHeight="1" x14ac:dyDescent="0.25">
      <c r="A18" s="59" t="s">
        <v>203</v>
      </c>
      <c r="B18" s="58">
        <f>101234+206499</f>
        <v>307733</v>
      </c>
      <c r="C18" s="58">
        <f>207850+102233</f>
        <v>310083</v>
      </c>
      <c r="D18" s="58">
        <f t="shared" si="1"/>
        <v>617816</v>
      </c>
      <c r="E18" s="58"/>
      <c r="F18" s="58"/>
      <c r="G18" s="58">
        <v>6373585</v>
      </c>
      <c r="H18" s="58"/>
      <c r="I18" s="58"/>
      <c r="J18" s="58">
        <v>1803767</v>
      </c>
      <c r="K18" s="58"/>
      <c r="L18" s="58"/>
      <c r="M18" s="58">
        <v>33213712</v>
      </c>
      <c r="N18" s="58"/>
      <c r="O18" s="58">
        <v>4502545</v>
      </c>
      <c r="P18" s="58">
        <f t="shared" si="4"/>
        <v>4502545</v>
      </c>
      <c r="Q18" s="58">
        <v>1168850</v>
      </c>
      <c r="R18" s="58">
        <v>5959694</v>
      </c>
      <c r="S18" s="58">
        <f t="shared" si="5"/>
        <v>7128544</v>
      </c>
      <c r="T18" s="58">
        <v>428200</v>
      </c>
      <c r="U18" s="58">
        <v>324714</v>
      </c>
      <c r="V18" s="58">
        <f t="shared" si="6"/>
        <v>752914</v>
      </c>
      <c r="W18" s="58">
        <v>6879155.21</v>
      </c>
      <c r="X18" s="58">
        <v>10318732.810000001</v>
      </c>
      <c r="Y18" s="58">
        <f t="shared" si="7"/>
        <v>17197888.02</v>
      </c>
      <c r="Z18" s="58">
        <v>951747</v>
      </c>
      <c r="AA18" s="58">
        <v>4147295</v>
      </c>
      <c r="AB18" s="58">
        <f t="shared" si="0"/>
        <v>5099042</v>
      </c>
      <c r="AC18" s="58">
        <v>637372</v>
      </c>
      <c r="AD18" s="58">
        <v>1881041</v>
      </c>
      <c r="AE18" s="58">
        <f t="shared" si="8"/>
        <v>2518413</v>
      </c>
      <c r="AF18" s="58"/>
      <c r="AG18" s="58"/>
      <c r="AH18" s="58">
        <v>36001597</v>
      </c>
      <c r="AI18" s="58">
        <v>6097681</v>
      </c>
      <c r="AJ18" s="58">
        <v>22888994</v>
      </c>
      <c r="AK18" s="58">
        <f t="shared" si="9"/>
        <v>28986675</v>
      </c>
      <c r="AL18" s="58">
        <v>271741</v>
      </c>
      <c r="AM18" s="58">
        <v>205514</v>
      </c>
      <c r="AN18" s="58">
        <f t="shared" si="10"/>
        <v>477255</v>
      </c>
      <c r="AO18" s="58">
        <v>675893</v>
      </c>
      <c r="AP18" s="58">
        <v>1308767</v>
      </c>
      <c r="AQ18" s="58">
        <f t="shared" si="11"/>
        <v>1984660</v>
      </c>
      <c r="AR18" s="58">
        <v>444312</v>
      </c>
      <c r="AS18" s="58">
        <v>1500590</v>
      </c>
      <c r="AT18" s="58">
        <f t="shared" si="12"/>
        <v>1944902</v>
      </c>
      <c r="AU18" s="58">
        <v>549496</v>
      </c>
      <c r="AV18" s="58">
        <v>657361</v>
      </c>
      <c r="AW18" s="58">
        <f t="shared" si="13"/>
        <v>1206857</v>
      </c>
      <c r="AX18" s="58">
        <v>3033098</v>
      </c>
      <c r="AY18" s="58">
        <v>11764154</v>
      </c>
      <c r="AZ18" s="58">
        <f t="shared" si="14"/>
        <v>14797252</v>
      </c>
      <c r="BA18" s="58"/>
      <c r="BB18" s="58"/>
      <c r="BC18" s="58">
        <v>16963365</v>
      </c>
      <c r="BD18" s="58"/>
      <c r="BE18" s="58"/>
      <c r="BF18" s="70">
        <v>26561966</v>
      </c>
      <c r="BG18" s="58"/>
      <c r="BH18" s="58"/>
      <c r="BI18" s="58">
        <v>258351</v>
      </c>
      <c r="BJ18" s="58">
        <v>1129689</v>
      </c>
      <c r="BK18" s="58">
        <v>5817528</v>
      </c>
      <c r="BL18" s="58">
        <f t="shared" si="17"/>
        <v>6947217</v>
      </c>
      <c r="BM18" s="58"/>
      <c r="BN18" s="58"/>
      <c r="BO18" s="58">
        <f>654769.8+694783.9</f>
        <v>1349553.7000000002</v>
      </c>
      <c r="BP18" s="58">
        <v>1429564</v>
      </c>
      <c r="BQ18" s="58">
        <v>5448771</v>
      </c>
      <c r="BR18" s="58">
        <f t="shared" si="18"/>
        <v>6878335</v>
      </c>
      <c r="BS18" s="58">
        <v>2418283</v>
      </c>
      <c r="BT18" s="58">
        <v>8796725</v>
      </c>
      <c r="BU18" s="58">
        <f t="shared" si="19"/>
        <v>11215008</v>
      </c>
      <c r="BV18" s="58">
        <v>2879097</v>
      </c>
      <c r="BW18" s="58">
        <v>32286455</v>
      </c>
      <c r="BX18" s="58">
        <f t="shared" si="20"/>
        <v>35165552</v>
      </c>
      <c r="BY18" s="58">
        <v>1751369</v>
      </c>
      <c r="BZ18" s="58">
        <v>2857497</v>
      </c>
      <c r="CA18" s="58">
        <f t="shared" si="21"/>
        <v>4608866</v>
      </c>
      <c r="CB18" s="58">
        <v>3265103</v>
      </c>
      <c r="CC18" s="58">
        <v>12944948</v>
      </c>
      <c r="CD18" s="58">
        <f t="shared" si="22"/>
        <v>16210051</v>
      </c>
      <c r="CE18" s="58"/>
      <c r="CF18" s="58"/>
      <c r="CG18" s="58">
        <v>59829657</v>
      </c>
      <c r="CH18" s="58">
        <v>356898</v>
      </c>
      <c r="CI18" s="58">
        <v>2657419</v>
      </c>
      <c r="CJ18" s="58">
        <f t="shared" si="24"/>
        <v>3014317</v>
      </c>
    </row>
    <row r="19" spans="1:88" ht="15" customHeight="1" x14ac:dyDescent="0.25">
      <c r="A19" s="59" t="s">
        <v>204</v>
      </c>
      <c r="B19" s="58"/>
      <c r="C19" s="58"/>
      <c r="D19" s="58">
        <f t="shared" si="1"/>
        <v>0</v>
      </c>
      <c r="E19" s="58"/>
      <c r="F19" s="58"/>
      <c r="G19" s="58">
        <v>17451</v>
      </c>
      <c r="H19" s="58"/>
      <c r="I19" s="58"/>
      <c r="J19" s="58">
        <f t="shared" si="2"/>
        <v>0</v>
      </c>
      <c r="K19" s="58"/>
      <c r="L19" s="58"/>
      <c r="M19" s="58">
        <v>500000</v>
      </c>
      <c r="N19" s="58"/>
      <c r="O19" s="58"/>
      <c r="P19" s="58">
        <f t="shared" si="4"/>
        <v>0</v>
      </c>
      <c r="Q19" s="58">
        <f>32794+50751</f>
        <v>83545</v>
      </c>
      <c r="R19" s="58">
        <f>167206+258765</f>
        <v>425971</v>
      </c>
      <c r="S19" s="58">
        <f t="shared" si="5"/>
        <v>509516</v>
      </c>
      <c r="T19" s="58"/>
      <c r="U19" s="58"/>
      <c r="V19" s="58">
        <f t="shared" si="6"/>
        <v>0</v>
      </c>
      <c r="W19" s="58">
        <v>690160.47</v>
      </c>
      <c r="X19" s="58">
        <v>1035240.69</v>
      </c>
      <c r="Y19" s="58">
        <f t="shared" si="7"/>
        <v>1725401.16</v>
      </c>
      <c r="Z19" s="58"/>
      <c r="AA19" s="58"/>
      <c r="AB19" s="58">
        <f t="shared" ref="AB19" si="29">AA19+Z19</f>
        <v>0</v>
      </c>
      <c r="AC19" s="58">
        <f>18825+20679</f>
        <v>39504</v>
      </c>
      <c r="AD19" s="58">
        <f>55557+61029</f>
        <v>116586</v>
      </c>
      <c r="AE19" s="58">
        <f t="shared" si="8"/>
        <v>156090</v>
      </c>
      <c r="AF19" s="58"/>
      <c r="AG19" s="58"/>
      <c r="AH19" s="58">
        <f t="shared" si="26"/>
        <v>0</v>
      </c>
      <c r="AI19" s="58"/>
      <c r="AJ19" s="58"/>
      <c r="AK19" s="58">
        <f t="shared" si="9"/>
        <v>0</v>
      </c>
      <c r="AL19" s="58"/>
      <c r="AM19" s="58"/>
      <c r="AN19" s="58">
        <f t="shared" si="10"/>
        <v>0</v>
      </c>
      <c r="AO19" s="58"/>
      <c r="AP19" s="58"/>
      <c r="AQ19" s="58">
        <f t="shared" si="11"/>
        <v>0</v>
      </c>
      <c r="AR19" s="58">
        <v>80575</v>
      </c>
      <c r="AS19" s="58">
        <v>272128</v>
      </c>
      <c r="AT19" s="58">
        <f t="shared" si="12"/>
        <v>352703</v>
      </c>
      <c r="AU19" s="58"/>
      <c r="AV19" s="58"/>
      <c r="AW19" s="58">
        <f t="shared" si="13"/>
        <v>0</v>
      </c>
      <c r="AX19" s="58">
        <v>309549</v>
      </c>
      <c r="AY19" s="58">
        <v>1200616</v>
      </c>
      <c r="AZ19" s="58">
        <f t="shared" si="14"/>
        <v>1510165</v>
      </c>
      <c r="BA19" s="58"/>
      <c r="BB19" s="58"/>
      <c r="BC19" s="58">
        <v>7105608</v>
      </c>
      <c r="BD19" s="58"/>
      <c r="BE19" s="58"/>
      <c r="BF19" s="70">
        <v>8054550</v>
      </c>
      <c r="BG19" s="58"/>
      <c r="BH19" s="58"/>
      <c r="BI19" s="58">
        <f t="shared" si="16"/>
        <v>0</v>
      </c>
      <c r="BJ19" s="58">
        <v>273357</v>
      </c>
      <c r="BK19" s="58">
        <v>1407696</v>
      </c>
      <c r="BL19" s="58">
        <f t="shared" si="17"/>
        <v>1681053</v>
      </c>
      <c r="BM19" s="58"/>
      <c r="BN19" s="58"/>
      <c r="BO19" s="58">
        <v>49999.7</v>
      </c>
      <c r="BP19" s="58">
        <v>107753</v>
      </c>
      <c r="BQ19" s="58">
        <v>410700</v>
      </c>
      <c r="BR19" s="58">
        <f t="shared" si="18"/>
        <v>518453</v>
      </c>
      <c r="BS19" s="58"/>
      <c r="BT19" s="58"/>
      <c r="BU19" s="58">
        <f t="shared" si="19"/>
        <v>0</v>
      </c>
      <c r="BV19" s="58"/>
      <c r="BW19" s="58"/>
      <c r="BX19" s="58">
        <f t="shared" si="20"/>
        <v>0</v>
      </c>
      <c r="BY19" s="58"/>
      <c r="BZ19" s="58"/>
      <c r="CA19" s="58">
        <f t="shared" si="21"/>
        <v>0</v>
      </c>
      <c r="CB19" s="58">
        <v>27869</v>
      </c>
      <c r="CC19" s="58">
        <v>110491</v>
      </c>
      <c r="CD19" s="58">
        <f t="shared" si="22"/>
        <v>138360</v>
      </c>
      <c r="CE19" s="58"/>
      <c r="CF19" s="58"/>
      <c r="CG19" s="58">
        <v>17544016</v>
      </c>
      <c r="CH19" s="58"/>
      <c r="CI19" s="58"/>
      <c r="CJ19" s="58">
        <f t="shared" si="24"/>
        <v>0</v>
      </c>
    </row>
    <row r="20" spans="1:88" s="61" customFormat="1" ht="15" customHeight="1" x14ac:dyDescent="0.25">
      <c r="A20" s="57" t="s">
        <v>205</v>
      </c>
      <c r="B20" s="60">
        <f t="shared" ref="B20:BB20" si="30">SUM(B6:B19)</f>
        <v>1100306</v>
      </c>
      <c r="C20" s="60">
        <f t="shared" si="30"/>
        <v>770979</v>
      </c>
      <c r="D20" s="60">
        <f t="shared" si="30"/>
        <v>1871285</v>
      </c>
      <c r="E20" s="60">
        <f t="shared" si="30"/>
        <v>0</v>
      </c>
      <c r="F20" s="60">
        <f t="shared" si="30"/>
        <v>0</v>
      </c>
      <c r="G20" s="60">
        <f t="shared" si="30"/>
        <v>35007105</v>
      </c>
      <c r="H20" s="60">
        <f t="shared" si="30"/>
        <v>0</v>
      </c>
      <c r="I20" s="60">
        <f t="shared" si="30"/>
        <v>0</v>
      </c>
      <c r="J20" s="60">
        <f t="shared" si="30"/>
        <v>7471988</v>
      </c>
      <c r="K20" s="60">
        <f t="shared" si="30"/>
        <v>0</v>
      </c>
      <c r="L20" s="60">
        <f t="shared" si="30"/>
        <v>0</v>
      </c>
      <c r="M20" s="60">
        <f t="shared" si="30"/>
        <v>89731774</v>
      </c>
      <c r="N20" s="60">
        <f t="shared" si="30"/>
        <v>0</v>
      </c>
      <c r="O20" s="60">
        <f t="shared" si="30"/>
        <v>20622769</v>
      </c>
      <c r="P20" s="60">
        <f t="shared" si="30"/>
        <v>20622769</v>
      </c>
      <c r="Q20" s="60">
        <f t="shared" si="30"/>
        <v>6763966</v>
      </c>
      <c r="R20" s="60">
        <f t="shared" si="30"/>
        <v>34617689</v>
      </c>
      <c r="S20" s="60">
        <f t="shared" si="30"/>
        <v>41381655</v>
      </c>
      <c r="T20" s="60">
        <f t="shared" si="30"/>
        <v>1017650</v>
      </c>
      <c r="U20" s="60">
        <f t="shared" si="30"/>
        <v>1302961</v>
      </c>
      <c r="V20" s="60">
        <f t="shared" si="30"/>
        <v>2320611</v>
      </c>
      <c r="W20" s="60">
        <f t="shared" si="30"/>
        <v>30245177.039999999</v>
      </c>
      <c r="X20" s="60">
        <f t="shared" si="30"/>
        <v>45367765.549999997</v>
      </c>
      <c r="Y20" s="60">
        <f t="shared" si="30"/>
        <v>56843811.519999996</v>
      </c>
      <c r="Z20" s="60">
        <f t="shared" si="30"/>
        <v>4297495</v>
      </c>
      <c r="AA20" s="60">
        <f>SUM(AA6:AA19)</f>
        <v>18726598</v>
      </c>
      <c r="AB20" s="60">
        <f t="shared" si="30"/>
        <v>23024093</v>
      </c>
      <c r="AC20" s="60">
        <f t="shared" si="30"/>
        <v>1456029</v>
      </c>
      <c r="AD20" s="60">
        <f t="shared" si="30"/>
        <v>4297097</v>
      </c>
      <c r="AE20" s="60">
        <f t="shared" si="30"/>
        <v>5753126</v>
      </c>
      <c r="AF20" s="60">
        <f t="shared" si="30"/>
        <v>0</v>
      </c>
      <c r="AG20" s="60">
        <f t="shared" si="30"/>
        <v>0</v>
      </c>
      <c r="AH20" s="60">
        <f t="shared" si="30"/>
        <v>131386677</v>
      </c>
      <c r="AI20" s="60">
        <f t="shared" si="30"/>
        <v>12412405</v>
      </c>
      <c r="AJ20" s="60">
        <f t="shared" si="30"/>
        <v>46592710</v>
      </c>
      <c r="AK20" s="60">
        <f t="shared" si="30"/>
        <v>59005115</v>
      </c>
      <c r="AL20" s="60">
        <f t="shared" si="30"/>
        <v>669730</v>
      </c>
      <c r="AM20" s="60">
        <f t="shared" si="30"/>
        <v>619236</v>
      </c>
      <c r="AN20" s="60">
        <f t="shared" si="30"/>
        <v>1288966</v>
      </c>
      <c r="AO20" s="60">
        <f t="shared" si="30"/>
        <v>2210922</v>
      </c>
      <c r="AP20" s="60">
        <f t="shared" si="30"/>
        <v>4281126</v>
      </c>
      <c r="AQ20" s="60">
        <f t="shared" si="30"/>
        <v>6492048</v>
      </c>
      <c r="AR20" s="60">
        <f t="shared" si="30"/>
        <v>1808123</v>
      </c>
      <c r="AS20" s="60">
        <f t="shared" si="30"/>
        <v>6106631</v>
      </c>
      <c r="AT20" s="60">
        <f t="shared" si="30"/>
        <v>7914754</v>
      </c>
      <c r="AU20" s="60">
        <f t="shared" si="30"/>
        <v>1625527</v>
      </c>
      <c r="AV20" s="60">
        <f t="shared" si="30"/>
        <v>2451642</v>
      </c>
      <c r="AW20" s="60">
        <f t="shared" si="30"/>
        <v>4077169</v>
      </c>
      <c r="AX20" s="60">
        <f t="shared" si="30"/>
        <v>45378244</v>
      </c>
      <c r="AY20" s="60">
        <f t="shared" si="30"/>
        <v>176003776</v>
      </c>
      <c r="AZ20" s="60">
        <f t="shared" si="30"/>
        <v>221382020</v>
      </c>
      <c r="BA20" s="60">
        <f t="shared" si="30"/>
        <v>0</v>
      </c>
      <c r="BB20" s="60">
        <f t="shared" si="30"/>
        <v>0</v>
      </c>
      <c r="BC20" s="60">
        <f t="shared" ref="BC20:CJ20" si="31">SUM(BC6:BC19)</f>
        <v>168052765</v>
      </c>
      <c r="BD20" s="60">
        <f t="shared" si="31"/>
        <v>0</v>
      </c>
      <c r="BE20" s="60">
        <f t="shared" si="31"/>
        <v>0</v>
      </c>
      <c r="BF20" s="60">
        <f t="shared" si="31"/>
        <v>215987539</v>
      </c>
      <c r="BG20" s="60">
        <f t="shared" si="31"/>
        <v>0</v>
      </c>
      <c r="BH20" s="60">
        <f t="shared" si="31"/>
        <v>0</v>
      </c>
      <c r="BI20" s="60">
        <f t="shared" si="31"/>
        <v>2189613</v>
      </c>
      <c r="BJ20" s="60">
        <f t="shared" si="31"/>
        <v>8719547</v>
      </c>
      <c r="BK20" s="60">
        <f t="shared" si="31"/>
        <v>44902796</v>
      </c>
      <c r="BL20" s="60">
        <f t="shared" si="31"/>
        <v>53622343</v>
      </c>
      <c r="BM20" s="60">
        <f t="shared" si="31"/>
        <v>0</v>
      </c>
      <c r="BN20" s="60">
        <f t="shared" si="31"/>
        <v>0</v>
      </c>
      <c r="BO20" s="60">
        <f t="shared" si="31"/>
        <v>4422369.5</v>
      </c>
      <c r="BP20" s="60">
        <f t="shared" si="31"/>
        <v>5509035</v>
      </c>
      <c r="BQ20" s="60">
        <f t="shared" si="31"/>
        <v>20997647</v>
      </c>
      <c r="BR20" s="60">
        <f t="shared" si="31"/>
        <v>26506682</v>
      </c>
      <c r="BS20" s="60">
        <f t="shared" si="31"/>
        <v>7083202</v>
      </c>
      <c r="BT20" s="60">
        <f t="shared" si="31"/>
        <v>29829036</v>
      </c>
      <c r="BU20" s="60">
        <f t="shared" si="31"/>
        <v>36912238</v>
      </c>
      <c r="BV20" s="60">
        <f t="shared" si="31"/>
        <v>6501025</v>
      </c>
      <c r="BW20" s="60">
        <f t="shared" si="31"/>
        <v>53824727</v>
      </c>
      <c r="BX20" s="60">
        <f t="shared" si="31"/>
        <v>60325752</v>
      </c>
      <c r="BY20" s="60">
        <f t="shared" si="31"/>
        <v>5351797</v>
      </c>
      <c r="BZ20" s="60">
        <f t="shared" si="31"/>
        <v>8731880</v>
      </c>
      <c r="CA20" s="60">
        <f t="shared" si="31"/>
        <v>14083677</v>
      </c>
      <c r="CB20" s="60">
        <f t="shared" si="31"/>
        <v>8547548</v>
      </c>
      <c r="CC20" s="60">
        <f t="shared" si="31"/>
        <v>33887926</v>
      </c>
      <c r="CD20" s="60">
        <f t="shared" si="31"/>
        <v>42435474</v>
      </c>
      <c r="CE20" s="60">
        <f t="shared" si="31"/>
        <v>0</v>
      </c>
      <c r="CF20" s="60">
        <f t="shared" si="31"/>
        <v>0</v>
      </c>
      <c r="CG20" s="60">
        <f t="shared" si="31"/>
        <v>255957149</v>
      </c>
      <c r="CH20" s="60">
        <f t="shared" si="31"/>
        <v>1449569</v>
      </c>
      <c r="CI20" s="60">
        <f t="shared" si="31"/>
        <v>10793303</v>
      </c>
      <c r="CJ20" s="60">
        <f t="shared" si="31"/>
        <v>12242872</v>
      </c>
    </row>
    <row r="21" spans="1:88" ht="15" customHeight="1" x14ac:dyDescent="0.25">
      <c r="A21" s="57" t="s">
        <v>206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</row>
    <row r="22" spans="1:88" ht="30" x14ac:dyDescent="0.25">
      <c r="A22" s="59" t="s">
        <v>191</v>
      </c>
      <c r="B22" s="58"/>
      <c r="C22" s="58"/>
      <c r="D22" s="58">
        <f t="shared" ref="D22:D35" si="32">C22+B22</f>
        <v>0</v>
      </c>
      <c r="E22" s="58"/>
      <c r="F22" s="58"/>
      <c r="G22" s="58">
        <v>8367859</v>
      </c>
      <c r="H22" s="58"/>
      <c r="I22" s="58"/>
      <c r="J22" s="58">
        <v>206121</v>
      </c>
      <c r="K22" s="58"/>
      <c r="L22" s="58"/>
      <c r="M22" s="58">
        <v>69108</v>
      </c>
      <c r="N22" s="58"/>
      <c r="O22" s="58">
        <v>1750162</v>
      </c>
      <c r="P22" s="58">
        <f t="shared" ref="P22:P35" si="33">O22+N22</f>
        <v>1750162</v>
      </c>
      <c r="Q22" s="58">
        <v>41174</v>
      </c>
      <c r="R22" s="58">
        <v>209936</v>
      </c>
      <c r="S22" s="58">
        <f t="shared" ref="S22:S35" si="34">R22+Q22</f>
        <v>251110</v>
      </c>
      <c r="T22" s="58"/>
      <c r="U22" s="58"/>
      <c r="V22" s="58">
        <f t="shared" ref="V22:V35" si="35">U22+T22</f>
        <v>0</v>
      </c>
      <c r="W22" s="58">
        <f>259169.73+79794.3</f>
        <v>338964.03</v>
      </c>
      <c r="X22" s="58">
        <f>388754.6+119691.44</f>
        <v>508446.04</v>
      </c>
      <c r="Y22" s="58">
        <f t="shared" ref="Y22:Y35" si="36">X22+W22</f>
        <v>847410.07000000007</v>
      </c>
      <c r="Z22" s="58"/>
      <c r="AA22" s="58"/>
      <c r="AB22" s="58">
        <f t="shared" ref="AB22:AB35" si="37">AA22+Z22</f>
        <v>0</v>
      </c>
      <c r="AC22" s="58">
        <v>62313</v>
      </c>
      <c r="AD22" s="58">
        <v>183902</v>
      </c>
      <c r="AE22" s="58">
        <f t="shared" ref="AE22:AE35" si="38">AD22+AC22</f>
        <v>246215</v>
      </c>
      <c r="AF22" s="58"/>
      <c r="AG22" s="58"/>
      <c r="AH22" s="58">
        <v>991550</v>
      </c>
      <c r="AI22" s="58">
        <v>75709</v>
      </c>
      <c r="AJ22" s="58">
        <v>284190</v>
      </c>
      <c r="AK22" s="58">
        <f t="shared" ref="AK22:AK35" si="39">AJ22+AI22</f>
        <v>359899</v>
      </c>
      <c r="AL22" s="58">
        <v>30081</v>
      </c>
      <c r="AM22" s="58">
        <v>22750</v>
      </c>
      <c r="AN22" s="58">
        <f t="shared" ref="AN22:AN35" si="40">AM22+AL22</f>
        <v>52831</v>
      </c>
      <c r="AO22" s="58">
        <v>166858</v>
      </c>
      <c r="AP22" s="58">
        <v>323095</v>
      </c>
      <c r="AQ22" s="58">
        <f t="shared" ref="AQ22:AQ35" si="41">AP22+AO22</f>
        <v>489953</v>
      </c>
      <c r="AR22" s="58"/>
      <c r="AS22" s="58"/>
      <c r="AT22" s="58">
        <f t="shared" ref="AT22:AT35" si="42">AS22+AR22</f>
        <v>0</v>
      </c>
      <c r="AU22" s="58"/>
      <c r="AV22" s="58"/>
      <c r="AW22" s="58">
        <f t="shared" ref="AW22:AW35" si="43">AV22+AU22</f>
        <v>0</v>
      </c>
      <c r="AX22" s="58">
        <v>1583706</v>
      </c>
      <c r="AY22" s="58">
        <v>6142552</v>
      </c>
      <c r="AZ22" s="58">
        <f t="shared" ref="AZ22:AZ35" si="44">AY22+AX22</f>
        <v>7726258</v>
      </c>
      <c r="BA22" s="58"/>
      <c r="BB22" s="58"/>
      <c r="BC22" s="58">
        <v>2704552</v>
      </c>
      <c r="BD22" s="58"/>
      <c r="BE22" s="58"/>
      <c r="BF22" s="70">
        <v>2452459</v>
      </c>
      <c r="BG22" s="58"/>
      <c r="BH22" s="58"/>
      <c r="BI22" s="58">
        <f t="shared" ref="BI22:BI35" si="45">BH22+BG22</f>
        <v>0</v>
      </c>
      <c r="BJ22" s="58"/>
      <c r="BK22" s="58"/>
      <c r="BL22" s="58">
        <f t="shared" ref="BL22:BL35" si="46">BK22+BJ22</f>
        <v>0</v>
      </c>
      <c r="BM22" s="58"/>
      <c r="BN22" s="58"/>
      <c r="BO22" s="58">
        <v>50022.3</v>
      </c>
      <c r="BP22" s="58">
        <v>10382</v>
      </c>
      <c r="BQ22" s="58">
        <v>39572</v>
      </c>
      <c r="BR22" s="58">
        <f t="shared" ref="BR22:BR35" si="47">BQ22+BP22</f>
        <v>49954</v>
      </c>
      <c r="BS22" s="58"/>
      <c r="BT22" s="58"/>
      <c r="BU22" s="58">
        <f t="shared" ref="BU22:BU35" si="48">BT22+BS22</f>
        <v>0</v>
      </c>
      <c r="BV22" s="58"/>
      <c r="BW22" s="58">
        <v>2750899</v>
      </c>
      <c r="BX22" s="58">
        <f t="shared" ref="BX22:BX35" si="49">BW22+BV22</f>
        <v>2750899</v>
      </c>
      <c r="BY22" s="58">
        <v>380</v>
      </c>
      <c r="BZ22" s="58">
        <v>620</v>
      </c>
      <c r="CA22" s="58">
        <f t="shared" ref="CA22:CA35" si="50">BZ22+BY22</f>
        <v>1000</v>
      </c>
      <c r="CB22" s="58">
        <v>287846</v>
      </c>
      <c r="CC22" s="58">
        <v>1141205</v>
      </c>
      <c r="CD22" s="58">
        <f t="shared" ref="CD22:CD35" si="51">CC22+CB22</f>
        <v>1429051</v>
      </c>
      <c r="CE22" s="58"/>
      <c r="CF22" s="58"/>
      <c r="CG22" s="58">
        <v>4347904</v>
      </c>
      <c r="CH22" s="58">
        <v>58788</v>
      </c>
      <c r="CI22" s="58">
        <v>437730</v>
      </c>
      <c r="CJ22" s="58">
        <f t="shared" ref="CJ22:CJ35" si="52">CI22+CH22</f>
        <v>496518</v>
      </c>
    </row>
    <row r="23" spans="1:88" ht="15" customHeight="1" x14ac:dyDescent="0.25">
      <c r="A23" s="59" t="s">
        <v>192</v>
      </c>
      <c r="B23" s="58"/>
      <c r="C23" s="58"/>
      <c r="D23" s="58">
        <f t="shared" si="32"/>
        <v>0</v>
      </c>
      <c r="E23" s="58"/>
      <c r="F23" s="58"/>
      <c r="G23" s="58">
        <f t="shared" ref="G23:G33" si="53">F23+E23</f>
        <v>0</v>
      </c>
      <c r="H23" s="58"/>
      <c r="I23" s="58"/>
      <c r="J23" s="58">
        <f t="shared" ref="J23:J35" si="54">I23+H23</f>
        <v>0</v>
      </c>
      <c r="K23" s="58"/>
      <c r="L23" s="58"/>
      <c r="M23" s="58">
        <f t="shared" ref="M23:M35" si="55">L23+K23</f>
        <v>0</v>
      </c>
      <c r="N23" s="58"/>
      <c r="O23" s="58">
        <v>4505071</v>
      </c>
      <c r="P23" s="58">
        <f t="shared" si="33"/>
        <v>4505071</v>
      </c>
      <c r="Q23" s="58"/>
      <c r="R23" s="58"/>
      <c r="S23" s="58">
        <f t="shared" si="34"/>
        <v>0</v>
      </c>
      <c r="T23" s="58"/>
      <c r="U23" s="58"/>
      <c r="V23" s="58">
        <f t="shared" si="35"/>
        <v>0</v>
      </c>
      <c r="W23" s="58"/>
      <c r="X23" s="58"/>
      <c r="Y23" s="58">
        <f t="shared" si="36"/>
        <v>0</v>
      </c>
      <c r="Z23" s="58"/>
      <c r="AA23" s="58"/>
      <c r="AB23" s="58">
        <f t="shared" si="37"/>
        <v>0</v>
      </c>
      <c r="AC23" s="58"/>
      <c r="AD23" s="58"/>
      <c r="AE23" s="58">
        <f t="shared" si="38"/>
        <v>0</v>
      </c>
      <c r="AF23" s="58"/>
      <c r="AG23" s="58"/>
      <c r="AH23" s="58">
        <v>6878430</v>
      </c>
      <c r="AI23" s="58"/>
      <c r="AJ23" s="58"/>
      <c r="AK23" s="58">
        <f t="shared" si="39"/>
        <v>0</v>
      </c>
      <c r="AL23" s="58"/>
      <c r="AM23" s="58"/>
      <c r="AN23" s="58">
        <f t="shared" si="40"/>
        <v>0</v>
      </c>
      <c r="AO23" s="58"/>
      <c r="AP23" s="58"/>
      <c r="AQ23" s="58">
        <f t="shared" si="41"/>
        <v>0</v>
      </c>
      <c r="AR23" s="58"/>
      <c r="AS23" s="58"/>
      <c r="AT23" s="58">
        <f t="shared" si="42"/>
        <v>0</v>
      </c>
      <c r="AU23" s="58"/>
      <c r="AV23" s="58"/>
      <c r="AW23" s="58">
        <f t="shared" si="43"/>
        <v>0</v>
      </c>
      <c r="AX23" s="58"/>
      <c r="AY23" s="58"/>
      <c r="AZ23" s="58">
        <f t="shared" si="44"/>
        <v>0</v>
      </c>
      <c r="BA23" s="58"/>
      <c r="BB23" s="58"/>
      <c r="BC23" s="58">
        <f t="shared" ref="BC23:BC33" si="56">BB23+BA23</f>
        <v>0</v>
      </c>
      <c r="BD23" s="58"/>
      <c r="BE23" s="58"/>
      <c r="BF23" s="70">
        <v>1591</v>
      </c>
      <c r="BG23" s="58"/>
      <c r="BH23" s="58"/>
      <c r="BI23" s="58">
        <f t="shared" si="45"/>
        <v>0</v>
      </c>
      <c r="BJ23" s="58"/>
      <c r="BK23" s="58"/>
      <c r="BL23" s="58">
        <f t="shared" si="46"/>
        <v>0</v>
      </c>
      <c r="BM23" s="58"/>
      <c r="BN23" s="58"/>
      <c r="BO23" s="58">
        <f t="shared" ref="BO23:BO27" si="57">BM23+BN23</f>
        <v>0</v>
      </c>
      <c r="BP23" s="58"/>
      <c r="BQ23" s="58"/>
      <c r="BR23" s="58">
        <f t="shared" si="47"/>
        <v>0</v>
      </c>
      <c r="BS23" s="58"/>
      <c r="BT23" s="58"/>
      <c r="BU23" s="58">
        <f t="shared" si="48"/>
        <v>0</v>
      </c>
      <c r="BV23" s="58">
        <v>614</v>
      </c>
      <c r="BW23" s="58">
        <v>280958</v>
      </c>
      <c r="BX23" s="58">
        <f t="shared" si="49"/>
        <v>281572</v>
      </c>
      <c r="BY23" s="58"/>
      <c r="BZ23" s="58"/>
      <c r="CA23" s="58">
        <f t="shared" si="50"/>
        <v>0</v>
      </c>
      <c r="CB23" s="58"/>
      <c r="CC23" s="58"/>
      <c r="CD23" s="58"/>
      <c r="CE23" s="58"/>
      <c r="CF23" s="58"/>
      <c r="CG23" s="58">
        <f t="shared" ref="CG23:CG33" si="58">CF23+CE23</f>
        <v>0</v>
      </c>
      <c r="CH23" s="58"/>
      <c r="CI23" s="58"/>
      <c r="CJ23" s="58">
        <f t="shared" si="52"/>
        <v>0</v>
      </c>
    </row>
    <row r="24" spans="1:88" ht="15" customHeight="1" x14ac:dyDescent="0.25">
      <c r="A24" s="59" t="s">
        <v>193</v>
      </c>
      <c r="B24" s="58"/>
      <c r="C24" s="58"/>
      <c r="D24" s="58">
        <f t="shared" si="32"/>
        <v>0</v>
      </c>
      <c r="E24" s="58"/>
      <c r="F24" s="58"/>
      <c r="G24" s="58">
        <f t="shared" si="53"/>
        <v>0</v>
      </c>
      <c r="H24" s="58"/>
      <c r="I24" s="58"/>
      <c r="J24" s="58">
        <f t="shared" si="54"/>
        <v>0</v>
      </c>
      <c r="K24" s="58"/>
      <c r="L24" s="58"/>
      <c r="M24" s="58">
        <f t="shared" si="55"/>
        <v>0</v>
      </c>
      <c r="N24" s="58"/>
      <c r="O24" s="58"/>
      <c r="P24" s="58">
        <f t="shared" si="33"/>
        <v>0</v>
      </c>
      <c r="Q24" s="58"/>
      <c r="R24" s="58"/>
      <c r="S24" s="58">
        <f t="shared" si="34"/>
        <v>0</v>
      </c>
      <c r="T24" s="58"/>
      <c r="U24" s="58"/>
      <c r="V24" s="58">
        <f t="shared" si="35"/>
        <v>0</v>
      </c>
      <c r="W24" s="58"/>
      <c r="X24" s="58"/>
      <c r="Y24" s="58">
        <f t="shared" si="36"/>
        <v>0</v>
      </c>
      <c r="Z24" s="58"/>
      <c r="AA24" s="58"/>
      <c r="AB24" s="58">
        <f t="shared" si="37"/>
        <v>0</v>
      </c>
      <c r="AC24" s="58"/>
      <c r="AD24" s="58"/>
      <c r="AE24" s="58">
        <f t="shared" si="38"/>
        <v>0</v>
      </c>
      <c r="AF24" s="58"/>
      <c r="AG24" s="58"/>
      <c r="AH24" s="58">
        <f t="shared" ref="AH24:AH35" si="59">AG24+AF24</f>
        <v>0</v>
      </c>
      <c r="AI24" s="58"/>
      <c r="AJ24" s="58"/>
      <c r="AK24" s="58">
        <f t="shared" si="39"/>
        <v>0</v>
      </c>
      <c r="AL24" s="58"/>
      <c r="AM24" s="58"/>
      <c r="AN24" s="58">
        <f t="shared" si="40"/>
        <v>0</v>
      </c>
      <c r="AO24" s="58"/>
      <c r="AP24" s="58"/>
      <c r="AQ24" s="58">
        <f t="shared" si="41"/>
        <v>0</v>
      </c>
      <c r="AR24" s="58"/>
      <c r="AS24" s="58"/>
      <c r="AT24" s="58">
        <f t="shared" si="42"/>
        <v>0</v>
      </c>
      <c r="AU24" s="58"/>
      <c r="AV24" s="58"/>
      <c r="AW24" s="58">
        <f t="shared" si="43"/>
        <v>0</v>
      </c>
      <c r="AX24" s="58"/>
      <c r="AY24" s="58"/>
      <c r="AZ24" s="58">
        <f t="shared" si="44"/>
        <v>0</v>
      </c>
      <c r="BA24" s="58"/>
      <c r="BB24" s="58"/>
      <c r="BC24" s="58">
        <f t="shared" si="56"/>
        <v>0</v>
      </c>
      <c r="BD24" s="58"/>
      <c r="BE24" s="58"/>
      <c r="BF24" s="58"/>
      <c r="BG24" s="58"/>
      <c r="BH24" s="58"/>
      <c r="BI24" s="58">
        <f t="shared" si="45"/>
        <v>0</v>
      </c>
      <c r="BJ24" s="58"/>
      <c r="BK24" s="58"/>
      <c r="BL24" s="58">
        <f t="shared" si="46"/>
        <v>0</v>
      </c>
      <c r="BM24" s="58"/>
      <c r="BN24" s="58"/>
      <c r="BO24" s="58">
        <f t="shared" si="57"/>
        <v>0</v>
      </c>
      <c r="BP24" s="58"/>
      <c r="BQ24" s="58"/>
      <c r="BR24" s="58">
        <f t="shared" si="47"/>
        <v>0</v>
      </c>
      <c r="BS24" s="58"/>
      <c r="BT24" s="58"/>
      <c r="BU24" s="58">
        <f t="shared" si="48"/>
        <v>0</v>
      </c>
      <c r="BV24" s="58"/>
      <c r="BW24" s="58"/>
      <c r="BX24" s="58">
        <f t="shared" si="49"/>
        <v>0</v>
      </c>
      <c r="BY24" s="58"/>
      <c r="BZ24" s="58"/>
      <c r="CA24" s="58">
        <f t="shared" si="50"/>
        <v>0</v>
      </c>
      <c r="CB24" s="58"/>
      <c r="CC24" s="58"/>
      <c r="CD24" s="58">
        <f t="shared" si="51"/>
        <v>0</v>
      </c>
      <c r="CE24" s="58"/>
      <c r="CF24" s="58"/>
      <c r="CG24" s="58">
        <f t="shared" si="58"/>
        <v>0</v>
      </c>
      <c r="CH24" s="58"/>
      <c r="CI24" s="58"/>
      <c r="CJ24" s="58">
        <f t="shared" si="52"/>
        <v>0</v>
      </c>
    </row>
    <row r="25" spans="1:88" ht="15" customHeight="1" x14ac:dyDescent="0.25">
      <c r="A25" s="59" t="s">
        <v>194</v>
      </c>
      <c r="B25" s="58"/>
      <c r="C25" s="58"/>
      <c r="D25" s="58">
        <f t="shared" si="32"/>
        <v>0</v>
      </c>
      <c r="E25" s="58"/>
      <c r="F25" s="58"/>
      <c r="G25" s="58">
        <f t="shared" si="53"/>
        <v>0</v>
      </c>
      <c r="H25" s="58"/>
      <c r="I25" s="58"/>
      <c r="J25" s="58">
        <f t="shared" si="54"/>
        <v>0</v>
      </c>
      <c r="K25" s="58"/>
      <c r="L25" s="58"/>
      <c r="M25" s="58">
        <f t="shared" si="55"/>
        <v>0</v>
      </c>
      <c r="N25" s="58"/>
      <c r="O25" s="58"/>
      <c r="P25" s="58">
        <f t="shared" si="33"/>
        <v>0</v>
      </c>
      <c r="Q25" s="58"/>
      <c r="R25" s="58"/>
      <c r="S25" s="58">
        <f t="shared" si="34"/>
        <v>0</v>
      </c>
      <c r="T25" s="58"/>
      <c r="U25" s="58"/>
      <c r="V25" s="58">
        <f t="shared" si="35"/>
        <v>0</v>
      </c>
      <c r="W25" s="58"/>
      <c r="X25" s="58"/>
      <c r="Y25" s="58">
        <f t="shared" si="36"/>
        <v>0</v>
      </c>
      <c r="Z25" s="58"/>
      <c r="AA25" s="58"/>
      <c r="AB25" s="58">
        <f t="shared" si="37"/>
        <v>0</v>
      </c>
      <c r="AC25" s="58"/>
      <c r="AD25" s="58"/>
      <c r="AE25" s="58">
        <f t="shared" si="38"/>
        <v>0</v>
      </c>
      <c r="AF25" s="58"/>
      <c r="AG25" s="58"/>
      <c r="AH25" s="58">
        <f t="shared" si="59"/>
        <v>0</v>
      </c>
      <c r="AI25" s="58"/>
      <c r="AJ25" s="58"/>
      <c r="AK25" s="58">
        <f t="shared" si="39"/>
        <v>0</v>
      </c>
      <c r="AL25" s="58"/>
      <c r="AM25" s="58"/>
      <c r="AN25" s="58">
        <f t="shared" si="40"/>
        <v>0</v>
      </c>
      <c r="AO25" s="58"/>
      <c r="AP25" s="58"/>
      <c r="AQ25" s="58">
        <f t="shared" si="41"/>
        <v>0</v>
      </c>
      <c r="AR25" s="58"/>
      <c r="AS25" s="58"/>
      <c r="AT25" s="58">
        <f t="shared" si="42"/>
        <v>0</v>
      </c>
      <c r="AU25" s="58"/>
      <c r="AV25" s="58"/>
      <c r="AW25" s="58">
        <f t="shared" si="43"/>
        <v>0</v>
      </c>
      <c r="AX25" s="58"/>
      <c r="AY25" s="58"/>
      <c r="AZ25" s="58">
        <f t="shared" si="44"/>
        <v>0</v>
      </c>
      <c r="BA25" s="58"/>
      <c r="BB25" s="58"/>
      <c r="BC25" s="58">
        <f t="shared" si="56"/>
        <v>0</v>
      </c>
      <c r="BD25" s="58"/>
      <c r="BE25" s="58"/>
      <c r="BF25" s="58"/>
      <c r="BG25" s="58"/>
      <c r="BH25" s="58"/>
      <c r="BI25" s="58">
        <f t="shared" si="45"/>
        <v>0</v>
      </c>
      <c r="BJ25" s="58"/>
      <c r="BK25" s="58"/>
      <c r="BL25" s="58">
        <f t="shared" si="46"/>
        <v>0</v>
      </c>
      <c r="BM25" s="58"/>
      <c r="BN25" s="58"/>
      <c r="BO25" s="58">
        <f t="shared" si="57"/>
        <v>0</v>
      </c>
      <c r="BP25" s="58"/>
      <c r="BQ25" s="58"/>
      <c r="BR25" s="58">
        <f t="shared" si="47"/>
        <v>0</v>
      </c>
      <c r="BS25" s="58"/>
      <c r="BT25" s="58"/>
      <c r="BU25" s="58">
        <f t="shared" si="48"/>
        <v>0</v>
      </c>
      <c r="BV25" s="58"/>
      <c r="BW25" s="58"/>
      <c r="BX25" s="58">
        <f t="shared" si="49"/>
        <v>0</v>
      </c>
      <c r="BY25" s="58"/>
      <c r="BZ25" s="58"/>
      <c r="CA25" s="58">
        <f t="shared" si="50"/>
        <v>0</v>
      </c>
      <c r="CB25" s="58"/>
      <c r="CC25" s="58"/>
      <c r="CD25" s="58">
        <f t="shared" si="51"/>
        <v>0</v>
      </c>
      <c r="CE25" s="58"/>
      <c r="CF25" s="58"/>
      <c r="CG25" s="58">
        <f t="shared" si="58"/>
        <v>0</v>
      </c>
      <c r="CH25" s="58"/>
      <c r="CI25" s="58"/>
      <c r="CJ25" s="58">
        <f t="shared" si="52"/>
        <v>0</v>
      </c>
    </row>
    <row r="26" spans="1:88" ht="15" customHeight="1" x14ac:dyDescent="0.25">
      <c r="A26" s="59" t="s">
        <v>195</v>
      </c>
      <c r="B26" s="58"/>
      <c r="C26" s="58"/>
      <c r="D26" s="58">
        <f t="shared" si="32"/>
        <v>0</v>
      </c>
      <c r="E26" s="58"/>
      <c r="F26" s="58"/>
      <c r="G26" s="58">
        <f t="shared" si="53"/>
        <v>0</v>
      </c>
      <c r="H26" s="58"/>
      <c r="I26" s="58"/>
      <c r="J26" s="58">
        <f t="shared" si="54"/>
        <v>0</v>
      </c>
      <c r="K26" s="58"/>
      <c r="L26" s="58"/>
      <c r="M26" s="58">
        <f t="shared" si="55"/>
        <v>0</v>
      </c>
      <c r="N26" s="58"/>
      <c r="O26" s="58"/>
      <c r="P26" s="58">
        <f t="shared" si="33"/>
        <v>0</v>
      </c>
      <c r="Q26" s="58"/>
      <c r="R26" s="58"/>
      <c r="S26" s="58">
        <f t="shared" si="34"/>
        <v>0</v>
      </c>
      <c r="T26" s="58"/>
      <c r="U26" s="58"/>
      <c r="V26" s="58">
        <f t="shared" si="35"/>
        <v>0</v>
      </c>
      <c r="W26" s="58"/>
      <c r="X26" s="58"/>
      <c r="Y26" s="58">
        <f t="shared" si="36"/>
        <v>0</v>
      </c>
      <c r="Z26" s="58">
        <v>59217</v>
      </c>
      <c r="AA26" s="58">
        <v>258041</v>
      </c>
      <c r="AB26" s="58">
        <f t="shared" si="37"/>
        <v>317258</v>
      </c>
      <c r="AC26" s="58"/>
      <c r="AD26" s="58"/>
      <c r="AE26" s="58">
        <f t="shared" si="38"/>
        <v>0</v>
      </c>
      <c r="AF26" s="58"/>
      <c r="AG26" s="58"/>
      <c r="AH26" s="58">
        <f t="shared" si="59"/>
        <v>0</v>
      </c>
      <c r="AI26" s="58"/>
      <c r="AJ26" s="58"/>
      <c r="AK26" s="58">
        <f t="shared" si="39"/>
        <v>0</v>
      </c>
      <c r="AL26" s="58"/>
      <c r="AM26" s="58"/>
      <c r="AN26" s="58">
        <f t="shared" si="40"/>
        <v>0</v>
      </c>
      <c r="AO26" s="58"/>
      <c r="AP26" s="58"/>
      <c r="AQ26" s="58">
        <f t="shared" si="41"/>
        <v>0</v>
      </c>
      <c r="AR26" s="58"/>
      <c r="AS26" s="58"/>
      <c r="AT26" s="58">
        <f t="shared" si="42"/>
        <v>0</v>
      </c>
      <c r="AU26" s="58"/>
      <c r="AV26" s="58"/>
      <c r="AW26" s="58">
        <f t="shared" si="43"/>
        <v>0</v>
      </c>
      <c r="AX26" s="58"/>
      <c r="AY26" s="58"/>
      <c r="AZ26" s="58">
        <f t="shared" si="44"/>
        <v>0</v>
      </c>
      <c r="BA26" s="58"/>
      <c r="BB26" s="58"/>
      <c r="BC26" s="58">
        <f t="shared" si="56"/>
        <v>0</v>
      </c>
      <c r="BD26" s="58"/>
      <c r="BE26" s="58"/>
      <c r="BF26" s="58"/>
      <c r="BG26" s="58"/>
      <c r="BH26" s="58"/>
      <c r="BI26" s="58">
        <f t="shared" si="45"/>
        <v>0</v>
      </c>
      <c r="BJ26" s="58"/>
      <c r="BK26" s="58"/>
      <c r="BL26" s="58">
        <f t="shared" si="46"/>
        <v>0</v>
      </c>
      <c r="BM26" s="58"/>
      <c r="BN26" s="58"/>
      <c r="BO26" s="58">
        <f t="shared" si="57"/>
        <v>0</v>
      </c>
      <c r="BP26" s="58">
        <v>396327</v>
      </c>
      <c r="BQ26" s="58">
        <v>1510597</v>
      </c>
      <c r="BR26" s="58">
        <f t="shared" si="47"/>
        <v>1906924</v>
      </c>
      <c r="BS26" s="58"/>
      <c r="BT26" s="58"/>
      <c r="BU26" s="58">
        <f t="shared" si="48"/>
        <v>0</v>
      </c>
      <c r="BV26" s="58"/>
      <c r="BW26" s="58"/>
      <c r="BX26" s="58">
        <f t="shared" si="49"/>
        <v>0</v>
      </c>
      <c r="BY26" s="58"/>
      <c r="BZ26" s="58"/>
      <c r="CA26" s="58">
        <f t="shared" si="50"/>
        <v>0</v>
      </c>
      <c r="CB26" s="58"/>
      <c r="CC26" s="58"/>
      <c r="CD26" s="58">
        <f t="shared" si="51"/>
        <v>0</v>
      </c>
      <c r="CE26" s="58"/>
      <c r="CF26" s="58"/>
      <c r="CG26" s="58">
        <f t="shared" si="58"/>
        <v>0</v>
      </c>
      <c r="CH26" s="58">
        <v>26773</v>
      </c>
      <c r="CI26" s="58">
        <v>199351</v>
      </c>
      <c r="CJ26" s="58">
        <f t="shared" si="52"/>
        <v>226124</v>
      </c>
    </row>
    <row r="27" spans="1:88" ht="15" customHeight="1" x14ac:dyDescent="0.25">
      <c r="A27" s="59" t="s">
        <v>196</v>
      </c>
      <c r="B27" s="58"/>
      <c r="C27" s="58"/>
      <c r="D27" s="58">
        <f t="shared" si="32"/>
        <v>0</v>
      </c>
      <c r="E27" s="58"/>
      <c r="F27" s="58"/>
      <c r="G27" s="58">
        <f t="shared" si="53"/>
        <v>0</v>
      </c>
      <c r="H27" s="58"/>
      <c r="I27" s="58"/>
      <c r="J27" s="58">
        <f t="shared" si="54"/>
        <v>0</v>
      </c>
      <c r="K27" s="58"/>
      <c r="L27" s="58"/>
      <c r="M27" s="58">
        <v>400000</v>
      </c>
      <c r="N27" s="58"/>
      <c r="O27" s="58"/>
      <c r="P27" s="58">
        <f t="shared" si="33"/>
        <v>0</v>
      </c>
      <c r="Q27" s="58"/>
      <c r="R27" s="58"/>
      <c r="S27" s="58">
        <f t="shared" si="34"/>
        <v>0</v>
      </c>
      <c r="T27" s="58"/>
      <c r="U27" s="58"/>
      <c r="V27" s="58">
        <f t="shared" si="35"/>
        <v>0</v>
      </c>
      <c r="W27" s="58"/>
      <c r="X27" s="58"/>
      <c r="Y27" s="58">
        <f t="shared" si="36"/>
        <v>0</v>
      </c>
      <c r="Z27" s="58"/>
      <c r="AA27" s="58"/>
      <c r="AB27" s="58">
        <f t="shared" si="37"/>
        <v>0</v>
      </c>
      <c r="AC27" s="58"/>
      <c r="AD27" s="58"/>
      <c r="AE27" s="58">
        <f t="shared" si="38"/>
        <v>0</v>
      </c>
      <c r="AF27" s="58"/>
      <c r="AG27" s="58"/>
      <c r="AH27" s="58">
        <f t="shared" si="59"/>
        <v>0</v>
      </c>
      <c r="AI27" s="58"/>
      <c r="AJ27" s="58"/>
      <c r="AK27" s="58">
        <f t="shared" si="39"/>
        <v>0</v>
      </c>
      <c r="AL27" s="58"/>
      <c r="AM27" s="58"/>
      <c r="AN27" s="58">
        <f t="shared" si="40"/>
        <v>0</v>
      </c>
      <c r="AO27" s="58"/>
      <c r="AP27" s="58"/>
      <c r="AQ27" s="58">
        <f t="shared" si="41"/>
        <v>0</v>
      </c>
      <c r="AR27" s="58"/>
      <c r="AS27" s="58"/>
      <c r="AT27" s="58">
        <f t="shared" si="42"/>
        <v>0</v>
      </c>
      <c r="AU27" s="58"/>
      <c r="AV27" s="58"/>
      <c r="AW27" s="58">
        <f t="shared" si="43"/>
        <v>0</v>
      </c>
      <c r="AX27" s="58"/>
      <c r="AY27" s="58"/>
      <c r="AZ27" s="58">
        <f t="shared" si="44"/>
        <v>0</v>
      </c>
      <c r="BA27" s="58"/>
      <c r="BB27" s="58"/>
      <c r="BC27" s="58">
        <f t="shared" si="56"/>
        <v>0</v>
      </c>
      <c r="BD27" s="58"/>
      <c r="BE27" s="58"/>
      <c r="BF27" s="70">
        <v>7485</v>
      </c>
      <c r="BG27" s="58"/>
      <c r="BH27" s="58"/>
      <c r="BI27" s="58">
        <f t="shared" si="45"/>
        <v>0</v>
      </c>
      <c r="BJ27" s="58"/>
      <c r="BK27" s="58"/>
      <c r="BL27" s="58">
        <f t="shared" si="46"/>
        <v>0</v>
      </c>
      <c r="BM27" s="58"/>
      <c r="BN27" s="58"/>
      <c r="BO27" s="58">
        <f t="shared" si="57"/>
        <v>0</v>
      </c>
      <c r="BP27" s="58"/>
      <c r="BQ27" s="58"/>
      <c r="BR27" s="58">
        <f t="shared" si="47"/>
        <v>0</v>
      </c>
      <c r="BS27" s="58"/>
      <c r="BT27" s="58"/>
      <c r="BU27" s="58">
        <f t="shared" si="48"/>
        <v>0</v>
      </c>
      <c r="BV27" s="58"/>
      <c r="BW27" s="58"/>
      <c r="BX27" s="58">
        <f t="shared" si="49"/>
        <v>0</v>
      </c>
      <c r="BY27" s="58"/>
      <c r="BZ27" s="58"/>
      <c r="CA27" s="58">
        <f t="shared" si="50"/>
        <v>0</v>
      </c>
      <c r="CB27" s="58"/>
      <c r="CC27" s="58"/>
      <c r="CD27" s="58">
        <f t="shared" si="51"/>
        <v>0</v>
      </c>
      <c r="CE27" s="58"/>
      <c r="CF27" s="58"/>
      <c r="CG27" s="58">
        <f t="shared" si="58"/>
        <v>0</v>
      </c>
      <c r="CH27" s="58"/>
      <c r="CI27" s="58"/>
      <c r="CJ27" s="58">
        <f t="shared" si="52"/>
        <v>0</v>
      </c>
    </row>
    <row r="28" spans="1:88" ht="15" customHeight="1" x14ac:dyDescent="0.25">
      <c r="A28" s="59" t="s">
        <v>197</v>
      </c>
      <c r="B28" s="58">
        <v>199695</v>
      </c>
      <c r="C28" s="58"/>
      <c r="D28" s="58">
        <f t="shared" si="32"/>
        <v>199695</v>
      </c>
      <c r="E28" s="58"/>
      <c r="F28" s="58"/>
      <c r="G28" s="58">
        <v>400106</v>
      </c>
      <c r="H28" s="58"/>
      <c r="I28" s="58"/>
      <c r="J28" s="58">
        <v>1073481</v>
      </c>
      <c r="K28" s="58"/>
      <c r="L28" s="58"/>
      <c r="M28" s="58">
        <v>3330460</v>
      </c>
      <c r="N28" s="58">
        <v>36073</v>
      </c>
      <c r="O28" s="58">
        <v>508925</v>
      </c>
      <c r="P28" s="58">
        <f t="shared" si="33"/>
        <v>544998</v>
      </c>
      <c r="Q28" s="58">
        <v>46334</v>
      </c>
      <c r="R28" s="58">
        <v>236246</v>
      </c>
      <c r="S28" s="58">
        <f t="shared" si="34"/>
        <v>282580</v>
      </c>
      <c r="T28" s="58">
        <v>85999</v>
      </c>
      <c r="U28" s="58">
        <v>156403</v>
      </c>
      <c r="V28" s="58">
        <f t="shared" si="35"/>
        <v>242402</v>
      </c>
      <c r="W28" s="58"/>
      <c r="X28" s="58"/>
      <c r="Y28" s="58">
        <f t="shared" si="36"/>
        <v>0</v>
      </c>
      <c r="Z28" s="58">
        <v>82333</v>
      </c>
      <c r="AA28" s="58">
        <v>358772</v>
      </c>
      <c r="AB28" s="58">
        <f t="shared" si="37"/>
        <v>441105</v>
      </c>
      <c r="AC28" s="58">
        <v>55555</v>
      </c>
      <c r="AD28" s="58">
        <v>163956</v>
      </c>
      <c r="AE28" s="58">
        <f t="shared" si="38"/>
        <v>219511</v>
      </c>
      <c r="AF28" s="58"/>
      <c r="AG28" s="58"/>
      <c r="AH28" s="58">
        <f t="shared" si="59"/>
        <v>0</v>
      </c>
      <c r="AI28" s="58">
        <v>263022</v>
      </c>
      <c r="AJ28" s="58">
        <v>987312</v>
      </c>
      <c r="AK28" s="58">
        <f t="shared" si="39"/>
        <v>1250334</v>
      </c>
      <c r="AL28" s="58">
        <v>16739</v>
      </c>
      <c r="AM28" s="58">
        <v>12660</v>
      </c>
      <c r="AN28" s="58">
        <f t="shared" si="40"/>
        <v>29399</v>
      </c>
      <c r="AO28" s="58">
        <v>135462</v>
      </c>
      <c r="AP28" s="58">
        <v>262301</v>
      </c>
      <c r="AQ28" s="58">
        <f t="shared" si="41"/>
        <v>397763</v>
      </c>
      <c r="AR28" s="58">
        <v>79927</v>
      </c>
      <c r="AS28" s="58">
        <v>269940</v>
      </c>
      <c r="AT28" s="58">
        <f t="shared" si="42"/>
        <v>349867</v>
      </c>
      <c r="AU28" s="58">
        <v>99079</v>
      </c>
      <c r="AV28" s="58">
        <v>126717</v>
      </c>
      <c r="AW28" s="58">
        <f>AV28+AU28</f>
        <v>225796</v>
      </c>
      <c r="AX28" s="58">
        <v>2034683</v>
      </c>
      <c r="AY28" s="58">
        <v>7891709</v>
      </c>
      <c r="AZ28" s="58">
        <f t="shared" si="44"/>
        <v>9926392</v>
      </c>
      <c r="BA28" s="58"/>
      <c r="BB28" s="58"/>
      <c r="BC28" s="58">
        <f t="shared" si="56"/>
        <v>0</v>
      </c>
      <c r="BD28" s="58"/>
      <c r="BE28" s="58"/>
      <c r="BF28" s="70">
        <v>4215430</v>
      </c>
      <c r="BG28" s="58"/>
      <c r="BH28" s="58"/>
      <c r="BI28" s="58">
        <v>126152</v>
      </c>
      <c r="BJ28" s="58">
        <v>429350</v>
      </c>
      <c r="BK28" s="58">
        <v>2211010</v>
      </c>
      <c r="BL28" s="58">
        <f t="shared" si="46"/>
        <v>2640360</v>
      </c>
      <c r="BM28" s="58"/>
      <c r="BN28" s="58"/>
      <c r="BO28" s="58">
        <v>379800</v>
      </c>
      <c r="BP28" s="58">
        <v>121345</v>
      </c>
      <c r="BQ28" s="58">
        <v>462505</v>
      </c>
      <c r="BR28" s="58">
        <f t="shared" si="47"/>
        <v>583850</v>
      </c>
      <c r="BS28" s="58">
        <v>323531</v>
      </c>
      <c r="BT28" s="58">
        <v>1175998</v>
      </c>
      <c r="BU28" s="58">
        <f t="shared" si="48"/>
        <v>1499529</v>
      </c>
      <c r="BV28" s="58"/>
      <c r="BW28" s="58">
        <f>195232+2641218</f>
        <v>2836450</v>
      </c>
      <c r="BX28" s="58">
        <f t="shared" si="49"/>
        <v>2836450</v>
      </c>
      <c r="BY28" s="58"/>
      <c r="BZ28" s="58"/>
      <c r="CA28" s="58">
        <f t="shared" si="50"/>
        <v>0</v>
      </c>
      <c r="CB28" s="58"/>
      <c r="CC28" s="58"/>
      <c r="CD28" s="58">
        <f t="shared" si="51"/>
        <v>0</v>
      </c>
      <c r="CE28" s="58"/>
      <c r="CF28" s="58"/>
      <c r="CG28" s="58">
        <v>5651697</v>
      </c>
      <c r="CH28" s="58">
        <v>62290</v>
      </c>
      <c r="CI28" s="58">
        <v>463807</v>
      </c>
      <c r="CJ28" s="58">
        <f t="shared" si="52"/>
        <v>526097</v>
      </c>
    </row>
    <row r="29" spans="1:88" ht="15" customHeight="1" x14ac:dyDescent="0.25">
      <c r="A29" s="59" t="s">
        <v>198</v>
      </c>
      <c r="B29" s="58"/>
      <c r="C29" s="58"/>
      <c r="D29" s="58">
        <f t="shared" si="32"/>
        <v>0</v>
      </c>
      <c r="E29" s="58"/>
      <c r="F29" s="58"/>
      <c r="G29" s="58">
        <v>2674880</v>
      </c>
      <c r="H29" s="58"/>
      <c r="I29" s="58"/>
      <c r="J29" s="58">
        <v>250000</v>
      </c>
      <c r="K29" s="58"/>
      <c r="L29" s="58"/>
      <c r="M29" s="58">
        <v>2769485</v>
      </c>
      <c r="N29" s="58"/>
      <c r="O29" s="58"/>
      <c r="P29" s="58">
        <f t="shared" si="33"/>
        <v>0</v>
      </c>
      <c r="Q29" s="58">
        <v>521422</v>
      </c>
      <c r="R29" s="58">
        <v>2658609</v>
      </c>
      <c r="S29" s="58">
        <f t="shared" si="34"/>
        <v>3180031</v>
      </c>
      <c r="T29" s="58">
        <v>20000</v>
      </c>
      <c r="U29" s="58">
        <v>130182</v>
      </c>
      <c r="V29" s="58">
        <f t="shared" si="35"/>
        <v>150182</v>
      </c>
      <c r="W29" s="58">
        <f>532718.67+100000.15</f>
        <v>632718.82000000007</v>
      </c>
      <c r="X29" s="58">
        <f>799078.02+150000.24</f>
        <v>949078.26</v>
      </c>
      <c r="Y29" s="58">
        <f t="shared" si="36"/>
        <v>1581797.08</v>
      </c>
      <c r="Z29" s="58">
        <v>85845</v>
      </c>
      <c r="AA29" s="58">
        <v>374073</v>
      </c>
      <c r="AB29" s="58">
        <f t="shared" si="37"/>
        <v>459918</v>
      </c>
      <c r="AC29" s="58">
        <v>63247</v>
      </c>
      <c r="AD29" s="58">
        <v>186656</v>
      </c>
      <c r="AE29" s="58">
        <f t="shared" si="38"/>
        <v>249903</v>
      </c>
      <c r="AF29" s="58"/>
      <c r="AG29" s="58"/>
      <c r="AH29" s="58">
        <v>500813</v>
      </c>
      <c r="AI29" s="58">
        <v>336898</v>
      </c>
      <c r="AJ29" s="58">
        <v>1264622</v>
      </c>
      <c r="AK29" s="58">
        <f t="shared" si="39"/>
        <v>1601520</v>
      </c>
      <c r="AL29" s="58">
        <v>57194</v>
      </c>
      <c r="AM29" s="58">
        <v>43255</v>
      </c>
      <c r="AN29" s="58">
        <f t="shared" si="40"/>
        <v>100449</v>
      </c>
      <c r="AO29" s="58">
        <v>187501</v>
      </c>
      <c r="AP29" s="58">
        <v>363068</v>
      </c>
      <c r="AQ29" s="58">
        <f t="shared" si="41"/>
        <v>550569</v>
      </c>
      <c r="AR29" s="58">
        <v>42138</v>
      </c>
      <c r="AS29" s="58">
        <v>142313</v>
      </c>
      <c r="AT29" s="58">
        <f t="shared" si="42"/>
        <v>184451</v>
      </c>
      <c r="AU29" s="58">
        <v>241758</v>
      </c>
      <c r="AV29" s="58">
        <v>340237</v>
      </c>
      <c r="AW29" s="58">
        <f t="shared" si="43"/>
        <v>581995</v>
      </c>
      <c r="AX29" s="58">
        <v>886668</v>
      </c>
      <c r="AY29" s="58">
        <v>3439024</v>
      </c>
      <c r="AZ29" s="58">
        <f t="shared" si="44"/>
        <v>4325692</v>
      </c>
      <c r="BA29" s="58"/>
      <c r="BB29" s="58"/>
      <c r="BC29" s="58">
        <v>1855324</v>
      </c>
      <c r="BD29" s="58"/>
      <c r="BE29" s="58"/>
      <c r="BF29" s="70">
        <v>4060515</v>
      </c>
      <c r="BG29" s="58"/>
      <c r="BH29" s="58"/>
      <c r="BI29" s="58">
        <v>150016</v>
      </c>
      <c r="BJ29" s="58">
        <v>1621118</v>
      </c>
      <c r="BK29" s="58">
        <v>8348224</v>
      </c>
      <c r="BL29" s="58">
        <f t="shared" si="46"/>
        <v>9969342</v>
      </c>
      <c r="BM29" s="58"/>
      <c r="BN29" s="58"/>
      <c r="BO29" s="58">
        <v>498899.5</v>
      </c>
      <c r="BP29" s="58">
        <v>457318</v>
      </c>
      <c r="BQ29" s="58">
        <v>1743066</v>
      </c>
      <c r="BR29" s="58">
        <f t="shared" si="47"/>
        <v>2200384</v>
      </c>
      <c r="BS29" s="58">
        <v>150000</v>
      </c>
      <c r="BT29" s="58">
        <v>1949601</v>
      </c>
      <c r="BU29" s="58">
        <f t="shared" si="48"/>
        <v>2099601</v>
      </c>
      <c r="BV29" s="58"/>
      <c r="BW29" s="58">
        <v>20097</v>
      </c>
      <c r="BX29" s="58">
        <f t="shared" si="49"/>
        <v>20097</v>
      </c>
      <c r="BY29" s="58">
        <v>38036</v>
      </c>
      <c r="BZ29" s="58">
        <v>62059</v>
      </c>
      <c r="CA29" s="58">
        <f t="shared" si="50"/>
        <v>100095</v>
      </c>
      <c r="CB29" s="58">
        <v>424194</v>
      </c>
      <c r="CC29" s="58">
        <v>1681776</v>
      </c>
      <c r="CD29" s="58">
        <f t="shared" si="51"/>
        <v>2105970</v>
      </c>
      <c r="CE29" s="58"/>
      <c r="CF29" s="58"/>
      <c r="CG29" s="58">
        <v>1075913</v>
      </c>
      <c r="CH29" s="58">
        <v>118955</v>
      </c>
      <c r="CI29" s="58">
        <v>885721</v>
      </c>
      <c r="CJ29" s="58">
        <f t="shared" si="52"/>
        <v>1004676</v>
      </c>
    </row>
    <row r="30" spans="1:88" ht="15" customHeight="1" x14ac:dyDescent="0.25">
      <c r="A30" s="59" t="s">
        <v>208</v>
      </c>
      <c r="B30" s="58"/>
      <c r="C30" s="58"/>
      <c r="D30" s="58">
        <f t="shared" si="32"/>
        <v>0</v>
      </c>
      <c r="E30" s="58"/>
      <c r="F30" s="58"/>
      <c r="G30" s="58">
        <f t="shared" si="53"/>
        <v>0</v>
      </c>
      <c r="H30" s="58"/>
      <c r="I30" s="58"/>
      <c r="J30" s="58">
        <f t="shared" si="54"/>
        <v>0</v>
      </c>
      <c r="K30" s="58"/>
      <c r="L30" s="58"/>
      <c r="M30" s="58">
        <f t="shared" si="55"/>
        <v>0</v>
      </c>
      <c r="N30" s="58"/>
      <c r="O30" s="58"/>
      <c r="P30" s="58">
        <f t="shared" si="33"/>
        <v>0</v>
      </c>
      <c r="Q30" s="58"/>
      <c r="R30" s="58"/>
      <c r="S30" s="58">
        <f t="shared" si="34"/>
        <v>0</v>
      </c>
      <c r="T30" s="58"/>
      <c r="U30" s="58"/>
      <c r="V30" s="58">
        <f t="shared" si="35"/>
        <v>0</v>
      </c>
      <c r="W30" s="58"/>
      <c r="X30" s="58"/>
      <c r="Y30" s="58">
        <f t="shared" si="36"/>
        <v>0</v>
      </c>
      <c r="Z30" s="58"/>
      <c r="AA30" s="58"/>
      <c r="AB30" s="58">
        <f t="shared" si="37"/>
        <v>0</v>
      </c>
      <c r="AC30" s="58"/>
      <c r="AD30" s="58"/>
      <c r="AE30" s="58">
        <f t="shared" si="38"/>
        <v>0</v>
      </c>
      <c r="AF30" s="58"/>
      <c r="AG30" s="58"/>
      <c r="AH30" s="58">
        <f t="shared" si="59"/>
        <v>0</v>
      </c>
      <c r="AI30" s="58">
        <v>316171</v>
      </c>
      <c r="AJ30" s="58">
        <v>1186818</v>
      </c>
      <c r="AK30" s="58">
        <f t="shared" si="39"/>
        <v>1502989</v>
      </c>
      <c r="AL30" s="58"/>
      <c r="AM30" s="58"/>
      <c r="AN30" s="58">
        <f t="shared" si="40"/>
        <v>0</v>
      </c>
      <c r="AO30" s="58"/>
      <c r="AP30" s="58"/>
      <c r="AQ30" s="58">
        <f t="shared" si="41"/>
        <v>0</v>
      </c>
      <c r="AR30" s="58"/>
      <c r="AS30" s="58"/>
      <c r="AT30" s="58">
        <f t="shared" si="42"/>
        <v>0</v>
      </c>
      <c r="AU30" s="58"/>
      <c r="AV30" s="58"/>
      <c r="AW30" s="58">
        <f t="shared" si="43"/>
        <v>0</v>
      </c>
      <c r="AX30" s="58"/>
      <c r="AY30" s="58"/>
      <c r="AZ30" s="58">
        <f t="shared" si="44"/>
        <v>0</v>
      </c>
      <c r="BA30" s="58"/>
      <c r="BB30" s="58"/>
      <c r="BC30" s="58">
        <f t="shared" si="56"/>
        <v>0</v>
      </c>
      <c r="BD30" s="58"/>
      <c r="BE30" s="58"/>
      <c r="BF30" s="58"/>
      <c r="BG30" s="58"/>
      <c r="BH30" s="58"/>
      <c r="BI30" s="58">
        <f t="shared" si="45"/>
        <v>0</v>
      </c>
      <c r="BJ30" s="58"/>
      <c r="BK30" s="58"/>
      <c r="BL30" s="58">
        <f t="shared" si="46"/>
        <v>0</v>
      </c>
      <c r="BM30" s="58"/>
      <c r="BN30" s="58"/>
      <c r="BO30" s="58">
        <f t="shared" ref="BO30:BO31" si="60">BM30+BN30</f>
        <v>0</v>
      </c>
      <c r="BP30" s="58"/>
      <c r="BQ30" s="58"/>
      <c r="BR30" s="58">
        <f t="shared" si="47"/>
        <v>0</v>
      </c>
      <c r="BS30" s="58"/>
      <c r="BT30" s="58"/>
      <c r="BU30" s="58">
        <f t="shared" si="48"/>
        <v>0</v>
      </c>
      <c r="BV30" s="58"/>
      <c r="BW30" s="58"/>
      <c r="BX30" s="58">
        <f t="shared" si="49"/>
        <v>0</v>
      </c>
      <c r="BY30" s="58"/>
      <c r="BZ30" s="58"/>
      <c r="CA30" s="58">
        <f t="shared" si="50"/>
        <v>0</v>
      </c>
      <c r="CB30" s="58"/>
      <c r="CC30" s="58"/>
      <c r="CD30" s="58">
        <f t="shared" si="51"/>
        <v>0</v>
      </c>
      <c r="CE30" s="58"/>
      <c r="CF30" s="58"/>
      <c r="CG30" s="58">
        <f t="shared" si="58"/>
        <v>0</v>
      </c>
      <c r="CH30" s="58"/>
      <c r="CI30" s="58"/>
      <c r="CJ30" s="58">
        <f t="shared" si="52"/>
        <v>0</v>
      </c>
    </row>
    <row r="31" spans="1:88" ht="15" customHeight="1" x14ac:dyDescent="0.25">
      <c r="A31" s="59" t="s">
        <v>209</v>
      </c>
      <c r="B31" s="58">
        <v>98525</v>
      </c>
      <c r="C31" s="58"/>
      <c r="D31" s="58">
        <f t="shared" si="32"/>
        <v>98525</v>
      </c>
      <c r="E31" s="58"/>
      <c r="F31" s="58"/>
      <c r="G31" s="58">
        <v>17212216</v>
      </c>
      <c r="H31" s="58"/>
      <c r="I31" s="58"/>
      <c r="J31" s="58">
        <v>150000</v>
      </c>
      <c r="K31" s="58"/>
      <c r="L31" s="58"/>
      <c r="M31" s="58">
        <v>1650000</v>
      </c>
      <c r="N31" s="58"/>
      <c r="O31" s="58"/>
      <c r="P31" s="58">
        <f t="shared" si="33"/>
        <v>0</v>
      </c>
      <c r="Q31" s="58"/>
      <c r="R31" s="58"/>
      <c r="S31" s="58">
        <f t="shared" si="34"/>
        <v>0</v>
      </c>
      <c r="T31" s="58"/>
      <c r="U31" s="58">
        <v>46857</v>
      </c>
      <c r="V31" s="58">
        <f t="shared" si="35"/>
        <v>46857</v>
      </c>
      <c r="W31" s="58">
        <v>175918.11</v>
      </c>
      <c r="X31" s="58">
        <v>263877.15999999997</v>
      </c>
      <c r="Y31" s="58">
        <f t="shared" si="36"/>
        <v>439795.26999999996</v>
      </c>
      <c r="Z31" s="58">
        <v>103764</v>
      </c>
      <c r="AA31" s="58">
        <v>452159</v>
      </c>
      <c r="AB31" s="58">
        <f t="shared" si="37"/>
        <v>555923</v>
      </c>
      <c r="AC31" s="58"/>
      <c r="AD31" s="58"/>
      <c r="AE31" s="58">
        <f t="shared" si="38"/>
        <v>0</v>
      </c>
      <c r="AF31" s="58"/>
      <c r="AG31" s="58"/>
      <c r="AH31" s="58">
        <v>7347279</v>
      </c>
      <c r="AI31" s="58">
        <v>104967</v>
      </c>
      <c r="AJ31" s="58">
        <v>394018</v>
      </c>
      <c r="AK31" s="58">
        <f t="shared" si="39"/>
        <v>498985</v>
      </c>
      <c r="AL31" s="58"/>
      <c r="AM31" s="58"/>
      <c r="AN31" s="58">
        <f t="shared" si="40"/>
        <v>0</v>
      </c>
      <c r="AO31" s="58"/>
      <c r="AP31" s="58"/>
      <c r="AQ31" s="58">
        <f t="shared" si="41"/>
        <v>0</v>
      </c>
      <c r="AR31" s="58">
        <v>126790</v>
      </c>
      <c r="AS31" s="58">
        <v>428210</v>
      </c>
      <c r="AT31" s="58">
        <f t="shared" si="42"/>
        <v>555000</v>
      </c>
      <c r="AU31" s="58"/>
      <c r="AV31" s="58"/>
      <c r="AW31" s="58">
        <f t="shared" si="43"/>
        <v>0</v>
      </c>
      <c r="AX31" s="58"/>
      <c r="AY31" s="58"/>
      <c r="AZ31" s="58">
        <f t="shared" si="44"/>
        <v>0</v>
      </c>
      <c r="BA31" s="58"/>
      <c r="BB31" s="58"/>
      <c r="BC31" s="58">
        <f t="shared" si="56"/>
        <v>0</v>
      </c>
      <c r="BD31" s="58"/>
      <c r="BE31" s="58"/>
      <c r="BF31" s="58"/>
      <c r="BG31" s="58"/>
      <c r="BH31" s="58"/>
      <c r="BI31" s="58">
        <f t="shared" si="45"/>
        <v>0</v>
      </c>
      <c r="BJ31" s="58"/>
      <c r="BK31" s="58"/>
      <c r="BL31" s="58">
        <f t="shared" si="46"/>
        <v>0</v>
      </c>
      <c r="BM31" s="58"/>
      <c r="BN31" s="58"/>
      <c r="BO31" s="58">
        <f t="shared" si="60"/>
        <v>0</v>
      </c>
      <c r="BP31" s="58">
        <v>191358</v>
      </c>
      <c r="BQ31" s="58">
        <v>729359</v>
      </c>
      <c r="BR31" s="58">
        <f t="shared" si="47"/>
        <v>920717</v>
      </c>
      <c r="BS31" s="58">
        <v>237281</v>
      </c>
      <c r="BT31" s="58"/>
      <c r="BU31" s="58">
        <f t="shared" si="48"/>
        <v>237281</v>
      </c>
      <c r="BV31" s="58"/>
      <c r="BW31" s="58"/>
      <c r="BX31" s="58">
        <f t="shared" si="49"/>
        <v>0</v>
      </c>
      <c r="BY31" s="58"/>
      <c r="BZ31" s="58"/>
      <c r="CA31" s="58">
        <f t="shared" si="50"/>
        <v>0</v>
      </c>
      <c r="CB31" s="58">
        <v>265999</v>
      </c>
      <c r="CC31" s="58">
        <v>1324091</v>
      </c>
      <c r="CD31" s="58">
        <f t="shared" si="51"/>
        <v>1590090</v>
      </c>
      <c r="CE31" s="58"/>
      <c r="CF31" s="58"/>
      <c r="CG31" s="58">
        <f t="shared" si="58"/>
        <v>0</v>
      </c>
      <c r="CH31" s="58">
        <v>69595</v>
      </c>
      <c r="CI31" s="58">
        <v>518194</v>
      </c>
      <c r="CJ31" s="58">
        <f t="shared" si="52"/>
        <v>587789</v>
      </c>
    </row>
    <row r="32" spans="1:88" ht="15" customHeight="1" x14ac:dyDescent="0.25">
      <c r="A32" s="59" t="s">
        <v>210</v>
      </c>
      <c r="B32" s="58">
        <v>69300</v>
      </c>
      <c r="C32" s="58"/>
      <c r="D32" s="58">
        <f t="shared" si="32"/>
        <v>69300</v>
      </c>
      <c r="E32" s="58"/>
      <c r="F32" s="58"/>
      <c r="G32" s="58">
        <f t="shared" si="53"/>
        <v>0</v>
      </c>
      <c r="H32" s="58"/>
      <c r="I32" s="58"/>
      <c r="J32" s="58">
        <f t="shared" si="54"/>
        <v>0</v>
      </c>
      <c r="K32" s="58"/>
      <c r="L32" s="58"/>
      <c r="M32" s="58">
        <f t="shared" si="55"/>
        <v>0</v>
      </c>
      <c r="N32" s="58"/>
      <c r="O32" s="58"/>
      <c r="P32" s="58">
        <f t="shared" si="33"/>
        <v>0</v>
      </c>
      <c r="Q32" s="58">
        <v>541568</v>
      </c>
      <c r="R32" s="58">
        <v>2761332</v>
      </c>
      <c r="S32" s="58">
        <f t="shared" si="34"/>
        <v>3302900</v>
      </c>
      <c r="T32" s="58"/>
      <c r="U32" s="58"/>
      <c r="V32" s="58">
        <f t="shared" si="35"/>
        <v>0</v>
      </c>
      <c r="W32" s="58"/>
      <c r="X32" s="58"/>
      <c r="Y32" s="58">
        <f t="shared" si="36"/>
        <v>0</v>
      </c>
      <c r="Z32" s="58"/>
      <c r="AA32" s="58"/>
      <c r="AB32" s="58">
        <f t="shared" si="37"/>
        <v>0</v>
      </c>
      <c r="AC32" s="58"/>
      <c r="AD32" s="58"/>
      <c r="AE32" s="58">
        <f t="shared" si="38"/>
        <v>0</v>
      </c>
      <c r="AF32" s="58"/>
      <c r="AG32" s="58"/>
      <c r="AH32" s="58">
        <f t="shared" si="59"/>
        <v>0</v>
      </c>
      <c r="AI32" s="58"/>
      <c r="AJ32" s="58"/>
      <c r="AK32" s="58">
        <f t="shared" si="39"/>
        <v>0</v>
      </c>
      <c r="AL32" s="58"/>
      <c r="AM32" s="58"/>
      <c r="AN32" s="58">
        <f t="shared" si="40"/>
        <v>0</v>
      </c>
      <c r="AO32" s="58"/>
      <c r="AP32" s="58"/>
      <c r="AQ32" s="58">
        <f t="shared" si="41"/>
        <v>0</v>
      </c>
      <c r="AR32" s="58"/>
      <c r="AS32" s="58"/>
      <c r="AT32" s="58">
        <f t="shared" si="42"/>
        <v>0</v>
      </c>
      <c r="AU32" s="58">
        <v>597300</v>
      </c>
      <c r="AV32" s="58">
        <v>89600</v>
      </c>
      <c r="AW32" s="58">
        <f>AV32+AU32</f>
        <v>686900</v>
      </c>
      <c r="AX32" s="58"/>
      <c r="AY32" s="58"/>
      <c r="AZ32" s="58">
        <f t="shared" si="44"/>
        <v>0</v>
      </c>
      <c r="BA32" s="58"/>
      <c r="BB32" s="58"/>
      <c r="BC32" s="58">
        <f t="shared" si="56"/>
        <v>0</v>
      </c>
      <c r="BD32" s="58"/>
      <c r="BE32" s="58"/>
      <c r="BF32" s="58"/>
      <c r="BG32" s="58"/>
      <c r="BH32" s="58"/>
      <c r="BI32" s="58">
        <v>212249</v>
      </c>
      <c r="BJ32" s="58"/>
      <c r="BK32" s="58"/>
      <c r="BL32" s="58">
        <f t="shared" si="46"/>
        <v>0</v>
      </c>
      <c r="BM32" s="58"/>
      <c r="BN32" s="58"/>
      <c r="BO32" s="58">
        <v>530600</v>
      </c>
      <c r="BP32" s="58"/>
      <c r="BQ32" s="58"/>
      <c r="BR32" s="58">
        <f t="shared" si="47"/>
        <v>0</v>
      </c>
      <c r="BS32" s="58">
        <v>187098</v>
      </c>
      <c r="BT32" s="58">
        <v>901899</v>
      </c>
      <c r="BU32" s="58">
        <f t="shared" si="48"/>
        <v>1088997</v>
      </c>
      <c r="BV32" s="58"/>
      <c r="BW32" s="58"/>
      <c r="BX32" s="58">
        <f t="shared" si="49"/>
        <v>0</v>
      </c>
      <c r="BY32" s="58"/>
      <c r="BZ32" s="58"/>
      <c r="CA32" s="58">
        <f t="shared" si="50"/>
        <v>0</v>
      </c>
      <c r="CB32" s="58"/>
      <c r="CC32" s="58"/>
      <c r="CD32" s="58">
        <f t="shared" si="51"/>
        <v>0</v>
      </c>
      <c r="CE32" s="58"/>
      <c r="CF32" s="58"/>
      <c r="CG32" s="58">
        <f t="shared" si="58"/>
        <v>0</v>
      </c>
      <c r="CH32" s="58"/>
      <c r="CI32" s="58"/>
      <c r="CJ32" s="58">
        <f t="shared" si="52"/>
        <v>0</v>
      </c>
    </row>
    <row r="33" spans="1:88" ht="15" customHeight="1" x14ac:dyDescent="0.25">
      <c r="A33" s="59" t="s">
        <v>211</v>
      </c>
      <c r="B33" s="58"/>
      <c r="C33" s="58"/>
      <c r="D33" s="58">
        <f t="shared" si="32"/>
        <v>0</v>
      </c>
      <c r="E33" s="58"/>
      <c r="F33" s="58"/>
      <c r="G33" s="58">
        <f t="shared" si="53"/>
        <v>0</v>
      </c>
      <c r="H33" s="58"/>
      <c r="I33" s="58"/>
      <c r="J33" s="58">
        <f t="shared" si="54"/>
        <v>0</v>
      </c>
      <c r="K33" s="58"/>
      <c r="L33" s="58"/>
      <c r="M33" s="58">
        <f t="shared" si="55"/>
        <v>0</v>
      </c>
      <c r="N33" s="58"/>
      <c r="O33" s="58"/>
      <c r="P33" s="58">
        <f t="shared" si="33"/>
        <v>0</v>
      </c>
      <c r="Q33" s="58"/>
      <c r="R33" s="58"/>
      <c r="S33" s="58">
        <f t="shared" si="34"/>
        <v>0</v>
      </c>
      <c r="T33" s="58"/>
      <c r="U33" s="58"/>
      <c r="V33" s="58">
        <f t="shared" si="35"/>
        <v>0</v>
      </c>
      <c r="W33" s="58"/>
      <c r="X33" s="58"/>
      <c r="Y33" s="58">
        <f t="shared" si="36"/>
        <v>0</v>
      </c>
      <c r="Z33" s="58"/>
      <c r="AA33" s="58"/>
      <c r="AB33" s="58">
        <f t="shared" si="37"/>
        <v>0</v>
      </c>
      <c r="AC33" s="58"/>
      <c r="AD33" s="58"/>
      <c r="AE33" s="58">
        <f t="shared" si="38"/>
        <v>0</v>
      </c>
      <c r="AF33" s="58"/>
      <c r="AG33" s="58"/>
      <c r="AH33" s="58">
        <f t="shared" si="59"/>
        <v>0</v>
      </c>
      <c r="AI33" s="58"/>
      <c r="AJ33" s="58"/>
      <c r="AK33" s="58">
        <f t="shared" si="39"/>
        <v>0</v>
      </c>
      <c r="AL33" s="58"/>
      <c r="AM33" s="58"/>
      <c r="AN33" s="58">
        <f t="shared" si="40"/>
        <v>0</v>
      </c>
      <c r="AO33" s="58"/>
      <c r="AP33" s="58"/>
      <c r="AQ33" s="58">
        <f t="shared" si="41"/>
        <v>0</v>
      </c>
      <c r="AR33" s="58"/>
      <c r="AS33" s="58"/>
      <c r="AT33" s="58">
        <f t="shared" si="42"/>
        <v>0</v>
      </c>
      <c r="AU33" s="58"/>
      <c r="AV33" s="58"/>
      <c r="AW33" s="58">
        <f t="shared" si="43"/>
        <v>0</v>
      </c>
      <c r="AX33" s="58"/>
      <c r="AY33" s="58"/>
      <c r="AZ33" s="58">
        <f t="shared" si="44"/>
        <v>0</v>
      </c>
      <c r="BA33" s="58"/>
      <c r="BB33" s="58"/>
      <c r="BC33" s="58">
        <f t="shared" si="56"/>
        <v>0</v>
      </c>
      <c r="BD33" s="58"/>
      <c r="BE33" s="58"/>
      <c r="BF33" s="58"/>
      <c r="BG33" s="58"/>
      <c r="BH33" s="58"/>
      <c r="BI33" s="58">
        <f t="shared" si="45"/>
        <v>0</v>
      </c>
      <c r="BJ33" s="58"/>
      <c r="BK33" s="58"/>
      <c r="BL33" s="58">
        <f t="shared" si="46"/>
        <v>0</v>
      </c>
      <c r="BM33" s="58"/>
      <c r="BN33" s="58"/>
      <c r="BO33" s="58">
        <f t="shared" ref="BO33" si="61">BM33+BN33</f>
        <v>0</v>
      </c>
      <c r="BP33" s="58"/>
      <c r="BQ33" s="58"/>
      <c r="BR33" s="58">
        <f t="shared" si="47"/>
        <v>0</v>
      </c>
      <c r="BS33" s="58"/>
      <c r="BT33" s="58"/>
      <c r="BU33" s="58">
        <f t="shared" si="48"/>
        <v>0</v>
      </c>
      <c r="BV33" s="58"/>
      <c r="BW33" s="58"/>
      <c r="BX33" s="58">
        <f t="shared" si="49"/>
        <v>0</v>
      </c>
      <c r="BY33" s="58"/>
      <c r="BZ33" s="58"/>
      <c r="CA33" s="58">
        <f t="shared" si="50"/>
        <v>0</v>
      </c>
      <c r="CB33" s="58"/>
      <c r="CC33" s="58"/>
      <c r="CD33" s="58">
        <f t="shared" si="51"/>
        <v>0</v>
      </c>
      <c r="CE33" s="58"/>
      <c r="CF33" s="58"/>
      <c r="CG33" s="58">
        <f t="shared" si="58"/>
        <v>0</v>
      </c>
      <c r="CH33" s="58"/>
      <c r="CI33" s="58"/>
      <c r="CJ33" s="58">
        <f t="shared" si="52"/>
        <v>0</v>
      </c>
    </row>
    <row r="34" spans="1:88" ht="15" customHeight="1" x14ac:dyDescent="0.25">
      <c r="A34" s="59" t="s">
        <v>203</v>
      </c>
      <c r="B34" s="58">
        <v>50429</v>
      </c>
      <c r="C34" s="58"/>
      <c r="D34" s="58">
        <f t="shared" si="32"/>
        <v>50429</v>
      </c>
      <c r="E34" s="58"/>
      <c r="F34" s="58"/>
      <c r="G34" s="58">
        <v>1211209</v>
      </c>
      <c r="H34" s="58"/>
      <c r="I34" s="58"/>
      <c r="J34" s="58">
        <v>3005</v>
      </c>
      <c r="K34" s="58"/>
      <c r="L34" s="58"/>
      <c r="M34" s="58">
        <v>4776699</v>
      </c>
      <c r="N34" s="58"/>
      <c r="O34" s="58">
        <v>1198994</v>
      </c>
      <c r="P34" s="58">
        <f t="shared" si="33"/>
        <v>1198994</v>
      </c>
      <c r="Q34" s="58">
        <v>98401</v>
      </c>
      <c r="R34" s="58">
        <v>501724</v>
      </c>
      <c r="S34" s="58">
        <f t="shared" si="34"/>
        <v>600125</v>
      </c>
      <c r="T34" s="58"/>
      <c r="U34" s="58"/>
      <c r="V34" s="58">
        <f t="shared" si="35"/>
        <v>0</v>
      </c>
      <c r="W34" s="58">
        <v>149156.88</v>
      </c>
      <c r="X34" s="58">
        <v>223735.32</v>
      </c>
      <c r="Y34" s="58">
        <f t="shared" si="36"/>
        <v>372892.2</v>
      </c>
      <c r="Z34" s="58">
        <v>5276</v>
      </c>
      <c r="AA34" s="58">
        <v>22992</v>
      </c>
      <c r="AB34" s="58">
        <f t="shared" si="37"/>
        <v>28268</v>
      </c>
      <c r="AC34" s="58">
        <v>15213</v>
      </c>
      <c r="AD34" s="58">
        <v>44897</v>
      </c>
      <c r="AE34" s="58">
        <f t="shared" si="38"/>
        <v>60110</v>
      </c>
      <c r="AF34" s="58"/>
      <c r="AG34" s="58"/>
      <c r="AH34" s="58">
        <v>3684287</v>
      </c>
      <c r="AI34" s="58">
        <v>294095</v>
      </c>
      <c r="AJ34" s="58">
        <v>1103949</v>
      </c>
      <c r="AK34" s="58">
        <f t="shared" si="39"/>
        <v>1398044</v>
      </c>
      <c r="AL34" s="58"/>
      <c r="AM34" s="58"/>
      <c r="AN34" s="58">
        <f t="shared" si="40"/>
        <v>0</v>
      </c>
      <c r="AO34" s="58">
        <v>68115</v>
      </c>
      <c r="AP34" s="58">
        <v>131897</v>
      </c>
      <c r="AQ34" s="58">
        <f t="shared" si="41"/>
        <v>200012</v>
      </c>
      <c r="AR34" s="58"/>
      <c r="AS34" s="58"/>
      <c r="AT34" s="58">
        <f t="shared" si="42"/>
        <v>0</v>
      </c>
      <c r="AU34" s="58">
        <v>100000</v>
      </c>
      <c r="AV34" s="58">
        <v>196121</v>
      </c>
      <c r="AW34" s="58">
        <f t="shared" si="43"/>
        <v>296121</v>
      </c>
      <c r="AX34" s="58">
        <v>240777</v>
      </c>
      <c r="AY34" s="58">
        <v>933875</v>
      </c>
      <c r="AZ34" s="58">
        <f t="shared" si="44"/>
        <v>1174652</v>
      </c>
      <c r="BA34" s="58"/>
      <c r="BB34" s="58"/>
      <c r="BC34" s="58">
        <v>3592811</v>
      </c>
      <c r="BD34" s="58"/>
      <c r="BE34" s="58"/>
      <c r="BF34" s="70">
        <v>1251921</v>
      </c>
      <c r="BG34" s="58"/>
      <c r="BH34" s="58"/>
      <c r="BI34" s="58">
        <v>250573</v>
      </c>
      <c r="BJ34" s="58">
        <v>139867</v>
      </c>
      <c r="BK34" s="58">
        <v>720269</v>
      </c>
      <c r="BL34" s="58">
        <f t="shared" si="46"/>
        <v>860136</v>
      </c>
      <c r="BM34" s="58"/>
      <c r="BN34" s="58"/>
      <c r="BO34" s="58">
        <f>131371.3+54999.6</f>
        <v>186370.9</v>
      </c>
      <c r="BP34" s="58">
        <v>238423</v>
      </c>
      <c r="BQ34" s="58">
        <v>908749</v>
      </c>
      <c r="BR34" s="58">
        <f t="shared" si="47"/>
        <v>1147172</v>
      </c>
      <c r="BS34" s="58">
        <v>480700</v>
      </c>
      <c r="BT34" s="58">
        <v>1337670</v>
      </c>
      <c r="BU34" s="58">
        <f t="shared" si="48"/>
        <v>1818370</v>
      </c>
      <c r="BV34" s="58"/>
      <c r="BW34" s="58">
        <v>944049</v>
      </c>
      <c r="BX34" s="58">
        <f t="shared" si="49"/>
        <v>944049</v>
      </c>
      <c r="BY34" s="58">
        <v>38000</v>
      </c>
      <c r="BZ34" s="58">
        <v>62000</v>
      </c>
      <c r="CA34" s="58">
        <f t="shared" si="50"/>
        <v>100000</v>
      </c>
      <c r="CB34" s="58">
        <v>191511</v>
      </c>
      <c r="CC34" s="58">
        <v>759273</v>
      </c>
      <c r="CD34" s="58">
        <f t="shared" si="51"/>
        <v>950784</v>
      </c>
      <c r="CE34" s="58"/>
      <c r="CF34" s="58"/>
      <c r="CG34" s="58">
        <v>3289089</v>
      </c>
      <c r="CH34" s="58">
        <v>139150</v>
      </c>
      <c r="CI34" s="58">
        <v>1036094</v>
      </c>
      <c r="CJ34" s="58">
        <f t="shared" si="52"/>
        <v>1175244</v>
      </c>
    </row>
    <row r="35" spans="1:88" x14ac:dyDescent="0.25">
      <c r="A35" s="59" t="s">
        <v>204</v>
      </c>
      <c r="B35" s="58"/>
      <c r="C35" s="58"/>
      <c r="D35" s="58">
        <f t="shared" si="32"/>
        <v>0</v>
      </c>
      <c r="E35" s="58"/>
      <c r="F35" s="58"/>
      <c r="G35" s="58">
        <v>10001832</v>
      </c>
      <c r="H35" s="58"/>
      <c r="I35" s="58"/>
      <c r="J35" s="58">
        <f t="shared" si="54"/>
        <v>0</v>
      </c>
      <c r="K35" s="58"/>
      <c r="L35" s="58"/>
      <c r="M35" s="58">
        <f t="shared" si="55"/>
        <v>0</v>
      </c>
      <c r="N35" s="58"/>
      <c r="O35" s="58">
        <v>99871</v>
      </c>
      <c r="P35" s="58">
        <f t="shared" si="33"/>
        <v>99871</v>
      </c>
      <c r="Q35" s="58">
        <v>8198</v>
      </c>
      <c r="R35" s="58">
        <v>41802</v>
      </c>
      <c r="S35" s="58">
        <f t="shared" si="34"/>
        <v>50000</v>
      </c>
      <c r="T35" s="58"/>
      <c r="U35" s="58"/>
      <c r="V35" s="58">
        <f t="shared" si="35"/>
        <v>0</v>
      </c>
      <c r="W35" s="58">
        <v>25000.06</v>
      </c>
      <c r="X35" s="58">
        <v>37500.089999999997</v>
      </c>
      <c r="Y35" s="58">
        <f t="shared" si="36"/>
        <v>62500.149999999994</v>
      </c>
      <c r="Z35" s="58">
        <v>1672</v>
      </c>
      <c r="AA35" s="58">
        <v>7287</v>
      </c>
      <c r="AB35" s="58">
        <f t="shared" si="37"/>
        <v>8959</v>
      </c>
      <c r="AC35" s="58"/>
      <c r="AD35" s="58"/>
      <c r="AE35" s="58">
        <f t="shared" si="38"/>
        <v>0</v>
      </c>
      <c r="AF35" s="58"/>
      <c r="AG35" s="58"/>
      <c r="AH35" s="58">
        <f t="shared" si="59"/>
        <v>0</v>
      </c>
      <c r="AI35" s="58"/>
      <c r="AJ35" s="58"/>
      <c r="AK35" s="58">
        <f t="shared" si="39"/>
        <v>0</v>
      </c>
      <c r="AL35" s="58"/>
      <c r="AM35" s="58"/>
      <c r="AN35" s="58">
        <f t="shared" si="40"/>
        <v>0</v>
      </c>
      <c r="AO35" s="58"/>
      <c r="AP35" s="58"/>
      <c r="AQ35" s="58">
        <f t="shared" si="41"/>
        <v>0</v>
      </c>
      <c r="AR35" s="58"/>
      <c r="AS35" s="58"/>
      <c r="AT35" s="58">
        <f t="shared" si="42"/>
        <v>0</v>
      </c>
      <c r="AU35" s="58">
        <v>122642</v>
      </c>
      <c r="AV35" s="58">
        <v>285804</v>
      </c>
      <c r="AW35" s="58">
        <f t="shared" si="43"/>
        <v>408446</v>
      </c>
      <c r="AX35" s="58">
        <v>122949</v>
      </c>
      <c r="AY35" s="58">
        <v>476868</v>
      </c>
      <c r="AZ35" s="58">
        <f t="shared" si="44"/>
        <v>599817</v>
      </c>
      <c r="BA35" s="58"/>
      <c r="BB35" s="58"/>
      <c r="BC35" s="58">
        <v>2012</v>
      </c>
      <c r="BD35" s="58"/>
      <c r="BE35" s="58"/>
      <c r="BF35" s="70">
        <v>45087</v>
      </c>
      <c r="BG35" s="58"/>
      <c r="BH35" s="58"/>
      <c r="BI35" s="58">
        <f t="shared" si="45"/>
        <v>0</v>
      </c>
      <c r="BJ35" s="58">
        <v>24469</v>
      </c>
      <c r="BK35" s="58">
        <v>126007</v>
      </c>
      <c r="BL35" s="58">
        <f t="shared" si="46"/>
        <v>150476</v>
      </c>
      <c r="BM35" s="58"/>
      <c r="BN35" s="58"/>
      <c r="BO35" s="58">
        <f t="shared" ref="BO35" si="62">BM35+BN35</f>
        <v>0</v>
      </c>
      <c r="BP35" s="58">
        <v>68625</v>
      </c>
      <c r="BQ35" s="58">
        <v>261565</v>
      </c>
      <c r="BR35" s="58">
        <f t="shared" si="47"/>
        <v>330190</v>
      </c>
      <c r="BS35" s="58"/>
      <c r="BT35" s="58"/>
      <c r="BU35" s="58">
        <f t="shared" si="48"/>
        <v>0</v>
      </c>
      <c r="BV35" s="58"/>
      <c r="BW35" s="58"/>
      <c r="BX35" s="58">
        <f t="shared" si="49"/>
        <v>0</v>
      </c>
      <c r="BY35" s="58"/>
      <c r="BZ35" s="58"/>
      <c r="CA35" s="58">
        <f t="shared" si="50"/>
        <v>0</v>
      </c>
      <c r="CB35" s="58"/>
      <c r="CC35" s="58"/>
      <c r="CD35" s="58">
        <f t="shared" si="51"/>
        <v>0</v>
      </c>
      <c r="CE35" s="58"/>
      <c r="CF35" s="58"/>
      <c r="CG35" s="58">
        <v>931000</v>
      </c>
      <c r="CH35" s="58"/>
      <c r="CI35" s="58"/>
      <c r="CJ35" s="58">
        <f t="shared" si="52"/>
        <v>0</v>
      </c>
    </row>
    <row r="36" spans="1:88" s="61" customFormat="1" x14ac:dyDescent="0.25">
      <c r="A36" s="57" t="s">
        <v>207</v>
      </c>
      <c r="B36" s="60">
        <f t="shared" ref="B36:BB36" si="63">SUM(B22:B35)</f>
        <v>417949</v>
      </c>
      <c r="C36" s="60">
        <f t="shared" si="63"/>
        <v>0</v>
      </c>
      <c r="D36" s="60">
        <f t="shared" si="63"/>
        <v>417949</v>
      </c>
      <c r="E36" s="60">
        <f t="shared" si="63"/>
        <v>0</v>
      </c>
      <c r="F36" s="60">
        <f t="shared" si="63"/>
        <v>0</v>
      </c>
      <c r="G36" s="60">
        <f t="shared" si="63"/>
        <v>39868102</v>
      </c>
      <c r="H36" s="60">
        <f t="shared" si="63"/>
        <v>0</v>
      </c>
      <c r="I36" s="60">
        <f t="shared" si="63"/>
        <v>0</v>
      </c>
      <c r="J36" s="60">
        <f t="shared" si="63"/>
        <v>1682607</v>
      </c>
      <c r="K36" s="60">
        <f t="shared" si="63"/>
        <v>0</v>
      </c>
      <c r="L36" s="60">
        <f t="shared" si="63"/>
        <v>0</v>
      </c>
      <c r="M36" s="60">
        <f t="shared" si="63"/>
        <v>12995752</v>
      </c>
      <c r="N36" s="60">
        <f t="shared" si="63"/>
        <v>36073</v>
      </c>
      <c r="O36" s="60">
        <f t="shared" si="63"/>
        <v>8063023</v>
      </c>
      <c r="P36" s="60">
        <f t="shared" si="63"/>
        <v>8099096</v>
      </c>
      <c r="Q36" s="60">
        <f t="shared" si="63"/>
        <v>1257097</v>
      </c>
      <c r="R36" s="60">
        <f t="shared" si="63"/>
        <v>6409649</v>
      </c>
      <c r="S36" s="60">
        <f t="shared" si="63"/>
        <v>7666746</v>
      </c>
      <c r="T36" s="60">
        <f t="shared" si="63"/>
        <v>105999</v>
      </c>
      <c r="U36" s="60">
        <f t="shared" si="63"/>
        <v>333442</v>
      </c>
      <c r="V36" s="60">
        <f t="shared" si="63"/>
        <v>439441</v>
      </c>
      <c r="W36" s="60">
        <f>SUM(W22:W35)</f>
        <v>1321757.8999999999</v>
      </c>
      <c r="X36" s="60">
        <f t="shared" si="63"/>
        <v>1982636.87</v>
      </c>
      <c r="Y36" s="60">
        <f t="shared" si="63"/>
        <v>3304394.7700000005</v>
      </c>
      <c r="Z36" s="60">
        <f t="shared" si="63"/>
        <v>338107</v>
      </c>
      <c r="AA36" s="60">
        <f>SUM(AA22:AA35)</f>
        <v>1473324</v>
      </c>
      <c r="AB36" s="60">
        <f t="shared" si="63"/>
        <v>1811431</v>
      </c>
      <c r="AC36" s="60">
        <f t="shared" si="63"/>
        <v>196328</v>
      </c>
      <c r="AD36" s="60">
        <f t="shared" si="63"/>
        <v>579411</v>
      </c>
      <c r="AE36" s="60">
        <f t="shared" si="63"/>
        <v>775739</v>
      </c>
      <c r="AF36" s="60">
        <f t="shared" si="63"/>
        <v>0</v>
      </c>
      <c r="AG36" s="60">
        <f t="shared" si="63"/>
        <v>0</v>
      </c>
      <c r="AH36" s="60">
        <f t="shared" si="63"/>
        <v>19402359</v>
      </c>
      <c r="AI36" s="60">
        <f t="shared" si="63"/>
        <v>1390862</v>
      </c>
      <c r="AJ36" s="60">
        <f t="shared" si="63"/>
        <v>5220909</v>
      </c>
      <c r="AK36" s="60">
        <f t="shared" si="63"/>
        <v>6611771</v>
      </c>
      <c r="AL36" s="60">
        <f t="shared" si="63"/>
        <v>104014</v>
      </c>
      <c r="AM36" s="60">
        <f t="shared" si="63"/>
        <v>78665</v>
      </c>
      <c r="AN36" s="60">
        <f t="shared" si="63"/>
        <v>182679</v>
      </c>
      <c r="AO36" s="60">
        <f t="shared" si="63"/>
        <v>557936</v>
      </c>
      <c r="AP36" s="60">
        <f t="shared" si="63"/>
        <v>1080361</v>
      </c>
      <c r="AQ36" s="60">
        <f t="shared" si="63"/>
        <v>1638297</v>
      </c>
      <c r="AR36" s="60">
        <f t="shared" si="63"/>
        <v>248855</v>
      </c>
      <c r="AS36" s="60">
        <f t="shared" si="63"/>
        <v>840463</v>
      </c>
      <c r="AT36" s="60">
        <f t="shared" si="63"/>
        <v>1089318</v>
      </c>
      <c r="AU36" s="60">
        <f t="shared" si="63"/>
        <v>1160779</v>
      </c>
      <c r="AV36" s="60">
        <f t="shared" si="63"/>
        <v>1038479</v>
      </c>
      <c r="AW36" s="60">
        <f t="shared" si="63"/>
        <v>2199258</v>
      </c>
      <c r="AX36" s="60">
        <f t="shared" si="63"/>
        <v>4868783</v>
      </c>
      <c r="AY36" s="60">
        <f t="shared" si="63"/>
        <v>18884028</v>
      </c>
      <c r="AZ36" s="60">
        <f t="shared" si="63"/>
        <v>23752811</v>
      </c>
      <c r="BA36" s="60">
        <f t="shared" si="63"/>
        <v>0</v>
      </c>
      <c r="BB36" s="60">
        <f t="shared" si="63"/>
        <v>0</v>
      </c>
      <c r="BC36" s="60">
        <f t="shared" ref="BC36:CJ36" si="64">SUM(BC22:BC35)</f>
        <v>8154699</v>
      </c>
      <c r="BD36" s="60">
        <f t="shared" si="64"/>
        <v>0</v>
      </c>
      <c r="BE36" s="60">
        <f t="shared" si="64"/>
        <v>0</v>
      </c>
      <c r="BF36" s="60">
        <f t="shared" si="64"/>
        <v>12034488</v>
      </c>
      <c r="BG36" s="60">
        <f t="shared" si="64"/>
        <v>0</v>
      </c>
      <c r="BH36" s="60">
        <f t="shared" si="64"/>
        <v>0</v>
      </c>
      <c r="BI36" s="60">
        <f t="shared" si="64"/>
        <v>738990</v>
      </c>
      <c r="BJ36" s="60">
        <f t="shared" si="64"/>
        <v>2214804</v>
      </c>
      <c r="BK36" s="60">
        <f t="shared" si="64"/>
        <v>11405510</v>
      </c>
      <c r="BL36" s="60">
        <f t="shared" si="64"/>
        <v>13620314</v>
      </c>
      <c r="BM36" s="60">
        <f t="shared" si="64"/>
        <v>0</v>
      </c>
      <c r="BN36" s="60">
        <f t="shared" si="64"/>
        <v>0</v>
      </c>
      <c r="BO36" s="60">
        <f t="shared" si="64"/>
        <v>1645692.7</v>
      </c>
      <c r="BP36" s="60">
        <f t="shared" si="64"/>
        <v>1483778</v>
      </c>
      <c r="BQ36" s="60">
        <f t="shared" si="64"/>
        <v>5655413</v>
      </c>
      <c r="BR36" s="60">
        <f t="shared" si="64"/>
        <v>7139191</v>
      </c>
      <c r="BS36" s="60">
        <f t="shared" si="64"/>
        <v>1378610</v>
      </c>
      <c r="BT36" s="60">
        <f t="shared" si="64"/>
        <v>5365168</v>
      </c>
      <c r="BU36" s="60">
        <f t="shared" si="64"/>
        <v>6743778</v>
      </c>
      <c r="BV36" s="60">
        <f t="shared" si="64"/>
        <v>614</v>
      </c>
      <c r="BW36" s="60">
        <f t="shared" si="64"/>
        <v>6832453</v>
      </c>
      <c r="BX36" s="60">
        <f t="shared" si="64"/>
        <v>6833067</v>
      </c>
      <c r="BY36" s="60">
        <f t="shared" si="64"/>
        <v>76416</v>
      </c>
      <c r="BZ36" s="60">
        <f t="shared" si="64"/>
        <v>124679</v>
      </c>
      <c r="CA36" s="60">
        <f t="shared" si="64"/>
        <v>201095</v>
      </c>
      <c r="CB36" s="60">
        <f t="shared" si="64"/>
        <v>1169550</v>
      </c>
      <c r="CC36" s="60">
        <f t="shared" si="64"/>
        <v>4906345</v>
      </c>
      <c r="CD36" s="60">
        <f t="shared" si="64"/>
        <v>6075895</v>
      </c>
      <c r="CE36" s="60">
        <f t="shared" si="64"/>
        <v>0</v>
      </c>
      <c r="CF36" s="60">
        <f t="shared" si="64"/>
        <v>0</v>
      </c>
      <c r="CG36" s="60">
        <f t="shared" si="64"/>
        <v>15295603</v>
      </c>
      <c r="CH36" s="60">
        <f t="shared" si="64"/>
        <v>475551</v>
      </c>
      <c r="CI36" s="60">
        <f t="shared" si="64"/>
        <v>3540897</v>
      </c>
      <c r="CJ36" s="60">
        <f t="shared" si="64"/>
        <v>4016448</v>
      </c>
    </row>
    <row r="37" spans="1:88" s="61" customFormat="1" x14ac:dyDescent="0.25">
      <c r="A37" s="57" t="s">
        <v>51</v>
      </c>
      <c r="B37" s="60">
        <f t="shared" ref="B37:BB37" si="65">B36+B20</f>
        <v>1518255</v>
      </c>
      <c r="C37" s="60">
        <f t="shared" si="65"/>
        <v>770979</v>
      </c>
      <c r="D37" s="60">
        <f t="shared" si="65"/>
        <v>2289234</v>
      </c>
      <c r="E37" s="60">
        <f t="shared" si="65"/>
        <v>0</v>
      </c>
      <c r="F37" s="60">
        <f t="shared" si="65"/>
        <v>0</v>
      </c>
      <c r="G37" s="60">
        <f t="shared" si="65"/>
        <v>74875207</v>
      </c>
      <c r="H37" s="60">
        <f t="shared" si="65"/>
        <v>0</v>
      </c>
      <c r="I37" s="60">
        <f t="shared" si="65"/>
        <v>0</v>
      </c>
      <c r="J37" s="60">
        <f t="shared" si="65"/>
        <v>9154595</v>
      </c>
      <c r="K37" s="60">
        <f t="shared" si="65"/>
        <v>0</v>
      </c>
      <c r="L37" s="60">
        <f t="shared" si="65"/>
        <v>0</v>
      </c>
      <c r="M37" s="60">
        <f t="shared" si="65"/>
        <v>102727526</v>
      </c>
      <c r="N37" s="60">
        <f t="shared" si="65"/>
        <v>36073</v>
      </c>
      <c r="O37" s="60">
        <f t="shared" si="65"/>
        <v>28685792</v>
      </c>
      <c r="P37" s="60">
        <f t="shared" si="65"/>
        <v>28721865</v>
      </c>
      <c r="Q37" s="60">
        <f t="shared" si="65"/>
        <v>8021063</v>
      </c>
      <c r="R37" s="60">
        <f t="shared" si="65"/>
        <v>41027338</v>
      </c>
      <c r="S37" s="60">
        <f t="shared" si="65"/>
        <v>49048401</v>
      </c>
      <c r="T37" s="60">
        <f t="shared" si="65"/>
        <v>1123649</v>
      </c>
      <c r="U37" s="60">
        <f t="shared" si="65"/>
        <v>1636403</v>
      </c>
      <c r="V37" s="60">
        <f t="shared" si="65"/>
        <v>2760052</v>
      </c>
      <c r="W37" s="60">
        <f t="shared" si="65"/>
        <v>31566934.939999998</v>
      </c>
      <c r="X37" s="60">
        <f t="shared" si="65"/>
        <v>47350402.419999994</v>
      </c>
      <c r="Y37" s="60">
        <f t="shared" si="65"/>
        <v>60148206.289999999</v>
      </c>
      <c r="Z37" s="60">
        <f t="shared" si="65"/>
        <v>4635602</v>
      </c>
      <c r="AA37" s="60">
        <f t="shared" si="65"/>
        <v>20199922</v>
      </c>
      <c r="AB37" s="60">
        <f t="shared" si="65"/>
        <v>24835524</v>
      </c>
      <c r="AC37" s="60">
        <f t="shared" si="65"/>
        <v>1652357</v>
      </c>
      <c r="AD37" s="60">
        <f t="shared" si="65"/>
        <v>4876508</v>
      </c>
      <c r="AE37" s="60">
        <f t="shared" si="65"/>
        <v>6528865</v>
      </c>
      <c r="AF37" s="60">
        <f t="shared" si="65"/>
        <v>0</v>
      </c>
      <c r="AG37" s="60">
        <f t="shared" si="65"/>
        <v>0</v>
      </c>
      <c r="AH37" s="60">
        <f t="shared" si="65"/>
        <v>150789036</v>
      </c>
      <c r="AI37" s="60">
        <f t="shared" si="65"/>
        <v>13803267</v>
      </c>
      <c r="AJ37" s="60">
        <f t="shared" si="65"/>
        <v>51813619</v>
      </c>
      <c r="AK37" s="60">
        <f t="shared" si="65"/>
        <v>65616886</v>
      </c>
      <c r="AL37" s="60">
        <f t="shared" si="65"/>
        <v>773744</v>
      </c>
      <c r="AM37" s="60">
        <f t="shared" si="65"/>
        <v>697901</v>
      </c>
      <c r="AN37" s="60">
        <f t="shared" si="65"/>
        <v>1471645</v>
      </c>
      <c r="AO37" s="60">
        <f t="shared" si="65"/>
        <v>2768858</v>
      </c>
      <c r="AP37" s="60">
        <f t="shared" si="65"/>
        <v>5361487</v>
      </c>
      <c r="AQ37" s="60">
        <f t="shared" si="65"/>
        <v>8130345</v>
      </c>
      <c r="AR37" s="60">
        <f t="shared" si="65"/>
        <v>2056978</v>
      </c>
      <c r="AS37" s="60">
        <f t="shared" si="65"/>
        <v>6947094</v>
      </c>
      <c r="AT37" s="60">
        <f t="shared" si="65"/>
        <v>9004072</v>
      </c>
      <c r="AU37" s="60">
        <f t="shared" si="65"/>
        <v>2786306</v>
      </c>
      <c r="AV37" s="60">
        <f t="shared" si="65"/>
        <v>3490121</v>
      </c>
      <c r="AW37" s="60">
        <f t="shared" si="65"/>
        <v>6276427</v>
      </c>
      <c r="AX37" s="60">
        <f t="shared" si="65"/>
        <v>50247027</v>
      </c>
      <c r="AY37" s="60">
        <f t="shared" si="65"/>
        <v>194887804</v>
      </c>
      <c r="AZ37" s="60">
        <f t="shared" si="65"/>
        <v>245134831</v>
      </c>
      <c r="BA37" s="60">
        <f t="shared" si="65"/>
        <v>0</v>
      </c>
      <c r="BB37" s="60">
        <f t="shared" si="65"/>
        <v>0</v>
      </c>
      <c r="BC37" s="60">
        <f t="shared" ref="BC37:CJ37" si="66">BC36+BC20</f>
        <v>176207464</v>
      </c>
      <c r="BD37" s="60">
        <f t="shared" si="66"/>
        <v>0</v>
      </c>
      <c r="BE37" s="60">
        <f t="shared" si="66"/>
        <v>0</v>
      </c>
      <c r="BF37" s="60">
        <f t="shared" si="66"/>
        <v>228022027</v>
      </c>
      <c r="BG37" s="60">
        <f t="shared" si="66"/>
        <v>0</v>
      </c>
      <c r="BH37" s="60">
        <f t="shared" si="66"/>
        <v>0</v>
      </c>
      <c r="BI37" s="60">
        <f t="shared" si="66"/>
        <v>2928603</v>
      </c>
      <c r="BJ37" s="60">
        <f t="shared" si="66"/>
        <v>10934351</v>
      </c>
      <c r="BK37" s="60">
        <f t="shared" si="66"/>
        <v>56308306</v>
      </c>
      <c r="BL37" s="60">
        <f t="shared" si="66"/>
        <v>67242657</v>
      </c>
      <c r="BM37" s="60">
        <f t="shared" si="66"/>
        <v>0</v>
      </c>
      <c r="BN37" s="60">
        <f t="shared" si="66"/>
        <v>0</v>
      </c>
      <c r="BO37" s="60">
        <f t="shared" si="66"/>
        <v>6068062.2000000002</v>
      </c>
      <c r="BP37" s="60">
        <f t="shared" si="66"/>
        <v>6992813</v>
      </c>
      <c r="BQ37" s="60">
        <f t="shared" si="66"/>
        <v>26653060</v>
      </c>
      <c r="BR37" s="60">
        <f t="shared" si="66"/>
        <v>33645873</v>
      </c>
      <c r="BS37" s="60">
        <f t="shared" si="66"/>
        <v>8461812</v>
      </c>
      <c r="BT37" s="60">
        <f t="shared" si="66"/>
        <v>35194204</v>
      </c>
      <c r="BU37" s="60">
        <f t="shared" si="66"/>
        <v>43656016</v>
      </c>
      <c r="BV37" s="60">
        <f t="shared" si="66"/>
        <v>6501639</v>
      </c>
      <c r="BW37" s="60">
        <f t="shared" si="66"/>
        <v>60657180</v>
      </c>
      <c r="BX37" s="60">
        <f t="shared" si="66"/>
        <v>67158819</v>
      </c>
      <c r="BY37" s="60">
        <f t="shared" si="66"/>
        <v>5428213</v>
      </c>
      <c r="BZ37" s="60">
        <f t="shared" si="66"/>
        <v>8856559</v>
      </c>
      <c r="CA37" s="60">
        <f t="shared" si="66"/>
        <v>14284772</v>
      </c>
      <c r="CB37" s="60">
        <f t="shared" si="66"/>
        <v>9717098</v>
      </c>
      <c r="CC37" s="60">
        <f t="shared" si="66"/>
        <v>38794271</v>
      </c>
      <c r="CD37" s="60">
        <f t="shared" si="66"/>
        <v>48511369</v>
      </c>
      <c r="CE37" s="60">
        <f t="shared" si="66"/>
        <v>0</v>
      </c>
      <c r="CF37" s="60">
        <f t="shared" si="66"/>
        <v>0</v>
      </c>
      <c r="CG37" s="60">
        <f t="shared" si="66"/>
        <v>271252752</v>
      </c>
      <c r="CH37" s="60">
        <f t="shared" si="66"/>
        <v>1925120</v>
      </c>
      <c r="CI37" s="60">
        <f t="shared" si="66"/>
        <v>14334200</v>
      </c>
      <c r="CJ37" s="60">
        <f t="shared" si="66"/>
        <v>16259320</v>
      </c>
    </row>
  </sheetData>
  <mergeCells count="30">
    <mergeCell ref="N3:P3"/>
    <mergeCell ref="B3:D3"/>
    <mergeCell ref="E3:G3"/>
    <mergeCell ref="H3:J3"/>
    <mergeCell ref="K3:M3"/>
    <mergeCell ref="AO3:AQ3"/>
    <mergeCell ref="Q3:S3"/>
    <mergeCell ref="T3:V3"/>
    <mergeCell ref="W3:Y3"/>
    <mergeCell ref="Z3:AB3"/>
    <mergeCell ref="AC3:AE3"/>
    <mergeCell ref="AF3:AH3"/>
    <mergeCell ref="AI3:AK3"/>
    <mergeCell ref="AL3:AN3"/>
    <mergeCell ref="CB3:CD3"/>
    <mergeCell ref="CE3:CG3"/>
    <mergeCell ref="CH3:CJ3"/>
    <mergeCell ref="A3:A4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</mergeCells>
  <pageMargins left="0.7" right="0.7" top="0.75" bottom="0.75" header="0.3" footer="0.3"/>
  <ignoredErrors>
    <ignoredError sqref="BO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NL17</vt:lpstr>
      <vt:lpstr>NL23</vt:lpstr>
      <vt:lpstr>NL25</vt:lpstr>
      <vt:lpstr>NL30</vt:lpstr>
      <vt:lpstr>NL33</vt:lpstr>
      <vt:lpstr>NL40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2020-09-15T09:14:45Z</dcterms:modified>
</cp:coreProperties>
</file>